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4655" yWindow="150" windowWidth="13650" windowHeight="14280" firstSheet="1" activeTab="1"/>
  </bookViews>
  <sheets>
    <sheet name="Общее" sheetId="1" state="hidden" r:id="rId1"/>
    <sheet name="Приложение №1" sheetId="3" r:id="rId2"/>
    <sheet name="Приложение №2" sheetId="4" r:id="rId3"/>
    <sheet name="Приложение №3" sheetId="2" r:id="rId4"/>
    <sheet name="Приложение №4" sheetId="5" r:id="rId5"/>
    <sheet name="Лист1" sheetId="6" state="hidden" r:id="rId6"/>
    <sheet name="Лист2" sheetId="7" state="hidden" r:id="rId7"/>
  </sheets>
  <definedNames>
    <definedName name="_xlnm._FilterDatabase" localSheetId="0" hidden="1">Общее!$A$1:$Z$69</definedName>
    <definedName name="_xlnm.Print_Area" localSheetId="0">Общее!$A$1:$K$67</definedName>
    <definedName name="_xlnm.Print_Area" localSheetId="4">'Приложение №4'!$A$1:$E$24</definedName>
  </definedNames>
  <calcPr calcId="145621"/>
</workbook>
</file>

<file path=xl/calcChain.xml><?xml version="1.0" encoding="utf-8"?>
<calcChain xmlns="http://schemas.openxmlformats.org/spreadsheetml/2006/main">
  <c r="J74" i="1" l="1"/>
  <c r="J73" i="1"/>
  <c r="J43" i="1"/>
  <c r="J44" i="1"/>
  <c r="J42" i="1"/>
  <c r="J41" i="1"/>
  <c r="J46" i="1"/>
  <c r="J61" i="1"/>
  <c r="J31" i="1"/>
  <c r="J62" i="1"/>
  <c r="J32" i="1"/>
  <c r="J38" i="1"/>
  <c r="J37" i="1"/>
  <c r="J33" i="1"/>
  <c r="J52" i="1"/>
  <c r="J55" i="1"/>
  <c r="J54" i="1"/>
  <c r="J56" i="1"/>
  <c r="J48" i="1"/>
  <c r="J53" i="1"/>
  <c r="J59" i="1"/>
  <c r="J47" i="1"/>
  <c r="J60" i="1"/>
  <c r="J66" i="1"/>
  <c r="J58" i="1"/>
  <c r="J29" i="1"/>
  <c r="J28" i="1"/>
  <c r="J27" i="1"/>
  <c r="J23" i="1"/>
  <c r="J22" i="1"/>
  <c r="J21" i="1"/>
  <c r="J17" i="1"/>
  <c r="J16" i="1"/>
  <c r="J14" i="1"/>
  <c r="J11" i="1"/>
  <c r="J15" i="1"/>
  <c r="J5" i="1"/>
  <c r="J6" i="1"/>
  <c r="J7" i="1"/>
  <c r="J8" i="1"/>
  <c r="J9" i="1"/>
  <c r="J10" i="1"/>
  <c r="J12" i="1"/>
  <c r="J13" i="1"/>
  <c r="J18" i="1"/>
  <c r="J19" i="1"/>
  <c r="J20" i="1"/>
  <c r="J24" i="1"/>
  <c r="J25" i="1"/>
  <c r="J26" i="1"/>
  <c r="J30" i="1"/>
  <c r="J34" i="1"/>
  <c r="J35" i="1"/>
  <c r="J36" i="1"/>
  <c r="J39" i="1"/>
  <c r="J40" i="1"/>
  <c r="J45" i="1"/>
  <c r="J49" i="1"/>
  <c r="J50" i="1"/>
  <c r="J51" i="1"/>
  <c r="J57" i="1"/>
  <c r="J63" i="1"/>
  <c r="J64" i="1"/>
  <c r="J65" i="1"/>
  <c r="J4" i="1"/>
  <c r="J67" i="1" l="1"/>
  <c r="L67" i="1"/>
  <c r="Q67" i="1"/>
  <c r="W67" i="1"/>
  <c r="B7" i="2"/>
  <c r="B8" i="2"/>
  <c r="B9" i="2"/>
  <c r="B10" i="2"/>
  <c r="B11" i="2"/>
  <c r="B12" i="2"/>
  <c r="B13" i="2"/>
  <c r="B14" i="2"/>
  <c r="B15" i="2"/>
  <c r="B16" i="2"/>
  <c r="B17" i="2"/>
  <c r="B18" i="2"/>
  <c r="B19" i="2"/>
  <c r="B20" i="2"/>
  <c r="B21" i="2"/>
  <c r="B22" i="2"/>
  <c r="M54" i="1" l="1"/>
  <c r="N54" i="1" s="1"/>
  <c r="M53" i="1" l="1"/>
  <c r="N53" i="1" s="1"/>
  <c r="P21" i="1" l="1"/>
  <c r="N21" i="1"/>
  <c r="R21" i="1"/>
  <c r="B20" i="4" l="1"/>
  <c r="B19" i="4"/>
  <c r="B18" i="4"/>
  <c r="B17" i="4"/>
  <c r="B16" i="4"/>
  <c r="B15" i="4"/>
  <c r="B14" i="4"/>
  <c r="B13" i="4"/>
  <c r="B12" i="4"/>
  <c r="B11" i="4"/>
  <c r="B10" i="4"/>
  <c r="B9" i="4"/>
  <c r="B8" i="4"/>
  <c r="B7" i="4"/>
  <c r="B24" i="3"/>
  <c r="B23" i="3"/>
  <c r="B22" i="3"/>
  <c r="B21" i="3"/>
  <c r="B20" i="3"/>
  <c r="B19" i="3"/>
  <c r="B18" i="3"/>
  <c r="B17" i="3"/>
  <c r="B16" i="3"/>
  <c r="B15" i="3"/>
  <c r="B14" i="3"/>
  <c r="B13" i="3"/>
  <c r="B12" i="3"/>
  <c r="B11" i="3"/>
  <c r="B10" i="3"/>
  <c r="B9" i="3"/>
  <c r="B8" i="3"/>
  <c r="B7" i="3"/>
  <c r="H19" i="5"/>
  <c r="J19" i="5"/>
  <c r="L19" i="5"/>
  <c r="M19" i="5"/>
  <c r="N19" i="5"/>
  <c r="P19" i="5"/>
  <c r="R19" i="5"/>
  <c r="T19" i="5"/>
  <c r="H20" i="5"/>
  <c r="J20" i="5"/>
  <c r="L20" i="5"/>
  <c r="M20" i="5"/>
  <c r="N20" i="5"/>
  <c r="P20" i="5"/>
  <c r="R20" i="5"/>
  <c r="T20" i="5"/>
  <c r="H21" i="5"/>
  <c r="J21" i="5"/>
  <c r="L21" i="5"/>
  <c r="M21" i="5"/>
  <c r="N21" i="5"/>
  <c r="P21" i="5"/>
  <c r="R21" i="5"/>
  <c r="T21" i="5"/>
  <c r="B21" i="5"/>
  <c r="B20" i="5"/>
  <c r="B19" i="5"/>
  <c r="B18" i="5"/>
  <c r="B17" i="5"/>
  <c r="B16" i="5"/>
  <c r="B15" i="5"/>
  <c r="B14" i="5"/>
  <c r="B13" i="5"/>
  <c r="B12" i="5"/>
  <c r="B11" i="5"/>
  <c r="B10" i="5"/>
  <c r="B9" i="5"/>
  <c r="B8" i="5"/>
  <c r="B7" i="5"/>
  <c r="H8" i="4"/>
  <c r="J8" i="4"/>
  <c r="L8" i="4"/>
  <c r="M8" i="4"/>
  <c r="N8" i="4"/>
  <c r="O8" i="4"/>
  <c r="P8" i="4"/>
  <c r="R8" i="4"/>
  <c r="T8" i="4"/>
  <c r="H9" i="4"/>
  <c r="J9" i="4"/>
  <c r="K9" i="4"/>
  <c r="L9" i="4"/>
  <c r="M9" i="4"/>
  <c r="N9" i="4"/>
  <c r="P9" i="4"/>
  <c r="R9" i="4"/>
  <c r="T9" i="4"/>
  <c r="H10" i="4"/>
  <c r="J10" i="4"/>
  <c r="K10" i="4"/>
  <c r="L10" i="4"/>
  <c r="M10" i="4"/>
  <c r="N10" i="4"/>
  <c r="P10" i="4"/>
  <c r="R10" i="4"/>
  <c r="T10" i="4"/>
  <c r="H11" i="4"/>
  <c r="I11" i="4"/>
  <c r="J11" i="4"/>
  <c r="L11" i="4"/>
  <c r="M11" i="4"/>
  <c r="N11" i="4"/>
  <c r="P11" i="4"/>
  <c r="R11" i="4"/>
  <c r="T11" i="4"/>
  <c r="H12" i="4"/>
  <c r="I12" i="4"/>
  <c r="J12" i="4"/>
  <c r="K12" i="4"/>
  <c r="L12" i="4"/>
  <c r="M12" i="4"/>
  <c r="N12" i="4"/>
  <c r="P12" i="4"/>
  <c r="R12" i="4"/>
  <c r="T12" i="4"/>
  <c r="H13" i="4"/>
  <c r="I13" i="4"/>
  <c r="J13" i="4"/>
  <c r="K13" i="4"/>
  <c r="L13" i="4"/>
  <c r="M13" i="4"/>
  <c r="N13" i="4"/>
  <c r="P13" i="4"/>
  <c r="R13" i="4"/>
  <c r="T13" i="4"/>
  <c r="H14" i="4"/>
  <c r="J14" i="4"/>
  <c r="K14" i="4"/>
  <c r="L14" i="4"/>
  <c r="M14" i="4"/>
  <c r="N14" i="4"/>
  <c r="P14" i="4"/>
  <c r="R14" i="4"/>
  <c r="T14" i="4"/>
  <c r="H15" i="4"/>
  <c r="J15" i="4"/>
  <c r="L15" i="4"/>
  <c r="M15" i="4"/>
  <c r="N15" i="4"/>
  <c r="O15" i="4"/>
  <c r="P15" i="4"/>
  <c r="R15" i="4"/>
  <c r="T15" i="4"/>
  <c r="H16" i="4"/>
  <c r="J16" i="4"/>
  <c r="L16" i="4"/>
  <c r="M16" i="4"/>
  <c r="N16" i="4"/>
  <c r="O16" i="4"/>
  <c r="P16" i="4"/>
  <c r="R16" i="4"/>
  <c r="T16" i="4"/>
  <c r="H17" i="4"/>
  <c r="I17" i="4"/>
  <c r="J17" i="4"/>
  <c r="K17" i="4"/>
  <c r="L17" i="4"/>
  <c r="M17" i="4"/>
  <c r="N17" i="4"/>
  <c r="O17" i="4"/>
  <c r="P17" i="4"/>
  <c r="R17" i="4"/>
  <c r="T17" i="4"/>
  <c r="H18" i="4"/>
  <c r="J18" i="4"/>
  <c r="L18" i="4"/>
  <c r="M18" i="4"/>
  <c r="N18" i="4"/>
  <c r="O18" i="4"/>
  <c r="P18" i="4"/>
  <c r="R18" i="4"/>
  <c r="T18" i="4"/>
  <c r="J19" i="4"/>
  <c r="K19" i="4"/>
  <c r="L19" i="4"/>
  <c r="M19" i="4"/>
  <c r="N19" i="4"/>
  <c r="O19" i="4"/>
  <c r="R19" i="4"/>
  <c r="T19" i="4"/>
  <c r="H20" i="4"/>
  <c r="J20" i="4"/>
  <c r="L20" i="4"/>
  <c r="M20" i="4"/>
  <c r="N20" i="4"/>
  <c r="O20" i="4"/>
  <c r="P20" i="4"/>
  <c r="R20" i="4"/>
  <c r="T20" i="4"/>
  <c r="H7" i="4"/>
  <c r="J7" i="4"/>
  <c r="L7" i="4"/>
  <c r="M7" i="4"/>
  <c r="N7" i="4"/>
  <c r="P7" i="4"/>
  <c r="R7" i="4"/>
  <c r="T7" i="4"/>
  <c r="N35" i="1" l="1"/>
  <c r="O32" i="1" l="1"/>
  <c r="U32" i="1"/>
  <c r="P32" i="1" l="1"/>
  <c r="P44" i="1"/>
  <c r="P31" i="1" l="1"/>
  <c r="P62" i="1" l="1"/>
  <c r="N66" i="1" l="1"/>
  <c r="I21" i="5" s="1"/>
  <c r="P66" i="1"/>
  <c r="K21" i="5" s="1"/>
  <c r="M27" i="1" l="1"/>
  <c r="U27" i="1"/>
  <c r="M28" i="1" l="1"/>
  <c r="N28" i="1"/>
  <c r="P29" i="1" l="1"/>
  <c r="V29" i="1"/>
  <c r="N29" i="1"/>
  <c r="N16" i="1" l="1"/>
  <c r="G20" i="5" l="1"/>
  <c r="G19" i="5"/>
  <c r="G21" i="5"/>
  <c r="N65" i="1" l="1"/>
  <c r="I20" i="5" s="1"/>
  <c r="P65" i="1"/>
  <c r="K20" i="5" s="1"/>
  <c r="N64" i="1" l="1"/>
  <c r="I19" i="5" s="1"/>
  <c r="P64" i="1"/>
  <c r="K19" i="5" s="1"/>
  <c r="N24" i="1" l="1"/>
  <c r="N17" i="1" l="1"/>
  <c r="N40" i="1" l="1"/>
  <c r="O46" i="1" l="1"/>
  <c r="O67" i="1" s="1"/>
  <c r="F39" i="1" l="1"/>
  <c r="F40" i="1"/>
  <c r="F41" i="1"/>
  <c r="F42" i="1"/>
  <c r="F43" i="1"/>
  <c r="F44" i="1"/>
  <c r="F45" i="1"/>
  <c r="F46" i="1"/>
  <c r="F47" i="1"/>
  <c r="F48" i="1"/>
  <c r="F49" i="1"/>
  <c r="F50" i="1"/>
  <c r="F51" i="1"/>
  <c r="F52" i="1"/>
  <c r="F53" i="1"/>
  <c r="F54" i="1"/>
  <c r="F55" i="1"/>
  <c r="F56" i="1"/>
  <c r="F57" i="1"/>
  <c r="F58" i="1"/>
  <c r="F59" i="1"/>
  <c r="F60" i="1"/>
  <c r="F61" i="1"/>
  <c r="F62" i="1"/>
  <c r="F63" i="1"/>
  <c r="F64" i="1"/>
  <c r="F65" i="1"/>
  <c r="F6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38" i="1"/>
  <c r="M33" i="1" l="1"/>
  <c r="U33" i="1"/>
  <c r="C21" i="5" l="1"/>
  <c r="D21" i="5"/>
  <c r="E21" i="5"/>
  <c r="F21" i="5"/>
  <c r="D67" i="1" l="1"/>
  <c r="E67" i="1"/>
  <c r="C67" i="1"/>
  <c r="Z66" i="1"/>
  <c r="U21" i="5" s="1"/>
  <c r="X66" i="1"/>
  <c r="S21" i="5" s="1"/>
  <c r="V66" i="1"/>
  <c r="Q21" i="5" s="1"/>
  <c r="T66" i="1"/>
  <c r="O21" i="5" s="1"/>
  <c r="H66" i="1"/>
  <c r="F20" i="5" l="1"/>
  <c r="E20" i="5"/>
  <c r="D20" i="5"/>
  <c r="C20" i="5"/>
  <c r="F19" i="5"/>
  <c r="E19" i="5"/>
  <c r="D19" i="5"/>
  <c r="C19" i="5"/>
  <c r="Z64" i="1" l="1"/>
  <c r="U19" i="5" s="1"/>
  <c r="X64" i="1"/>
  <c r="S19" i="5" s="1"/>
  <c r="V64" i="1"/>
  <c r="Q19" i="5" s="1"/>
  <c r="T64" i="1"/>
  <c r="O19" i="5" s="1"/>
  <c r="H64" i="1"/>
  <c r="D15" i="2" l="1"/>
  <c r="W15" i="2" s="1"/>
  <c r="E15" i="2"/>
  <c r="F15" i="2"/>
  <c r="G15" i="2"/>
  <c r="H15" i="2"/>
  <c r="I15" i="2"/>
  <c r="J15" i="2"/>
  <c r="K15" i="2"/>
  <c r="L15" i="2"/>
  <c r="N15" i="2"/>
  <c r="P15" i="2"/>
  <c r="R15" i="2"/>
  <c r="T15" i="2"/>
  <c r="D7" i="5" l="1"/>
  <c r="E7" i="5"/>
  <c r="F7" i="5"/>
  <c r="G7" i="5"/>
  <c r="H7" i="5"/>
  <c r="J7" i="5"/>
  <c r="K7" i="5"/>
  <c r="L7" i="5"/>
  <c r="M7" i="5"/>
  <c r="N7" i="5"/>
  <c r="P7" i="5"/>
  <c r="R7" i="5"/>
  <c r="T7" i="5"/>
  <c r="D8" i="5"/>
  <c r="E8" i="5"/>
  <c r="F8" i="5"/>
  <c r="G8" i="5"/>
  <c r="H8" i="5"/>
  <c r="I8" i="5"/>
  <c r="J8" i="5"/>
  <c r="K8" i="5"/>
  <c r="L8" i="5"/>
  <c r="M8" i="5"/>
  <c r="N8" i="5"/>
  <c r="P8" i="5"/>
  <c r="R8" i="5"/>
  <c r="T8" i="5"/>
  <c r="D9" i="5"/>
  <c r="E9" i="5"/>
  <c r="F9" i="5"/>
  <c r="G9" i="5"/>
  <c r="H9" i="5"/>
  <c r="J9" i="5"/>
  <c r="K9" i="5"/>
  <c r="L9" i="5"/>
  <c r="M9" i="5"/>
  <c r="N9" i="5"/>
  <c r="P9" i="5"/>
  <c r="R9" i="5"/>
  <c r="T9" i="5"/>
  <c r="D10" i="5"/>
  <c r="E10" i="5"/>
  <c r="F10" i="5"/>
  <c r="G10" i="5"/>
  <c r="H10" i="5"/>
  <c r="J10" i="5"/>
  <c r="K10" i="5"/>
  <c r="L10" i="5"/>
  <c r="M10" i="5"/>
  <c r="N10" i="5"/>
  <c r="P10" i="5"/>
  <c r="R10" i="5"/>
  <c r="T10" i="5"/>
  <c r="D11" i="5"/>
  <c r="E11" i="5"/>
  <c r="F11" i="5"/>
  <c r="G11" i="5"/>
  <c r="H11" i="5"/>
  <c r="J11" i="5"/>
  <c r="K11" i="5"/>
  <c r="L11" i="5"/>
  <c r="M11" i="5"/>
  <c r="N11" i="5"/>
  <c r="P11" i="5"/>
  <c r="R11" i="5"/>
  <c r="T11" i="5"/>
  <c r="D12" i="5"/>
  <c r="E12" i="5"/>
  <c r="F12" i="5"/>
  <c r="G12" i="5"/>
  <c r="H12" i="5"/>
  <c r="I12" i="5"/>
  <c r="J12" i="5"/>
  <c r="K12" i="5"/>
  <c r="L12" i="5"/>
  <c r="M12" i="5"/>
  <c r="N12" i="5"/>
  <c r="P12" i="5"/>
  <c r="R12" i="5"/>
  <c r="T12" i="5"/>
  <c r="D13" i="5"/>
  <c r="E13" i="5"/>
  <c r="F13" i="5"/>
  <c r="G13" i="5"/>
  <c r="H13" i="5"/>
  <c r="I13" i="5"/>
  <c r="J13" i="5"/>
  <c r="K13" i="5"/>
  <c r="L13" i="5"/>
  <c r="M13" i="5"/>
  <c r="N13" i="5"/>
  <c r="P13" i="5"/>
  <c r="R13" i="5"/>
  <c r="T13" i="5"/>
  <c r="D14" i="5"/>
  <c r="E14" i="5"/>
  <c r="F14" i="5"/>
  <c r="G14" i="5"/>
  <c r="H14" i="5"/>
  <c r="I14" i="5"/>
  <c r="J14" i="5"/>
  <c r="K14" i="5"/>
  <c r="L14" i="5"/>
  <c r="M14" i="5"/>
  <c r="N14" i="5"/>
  <c r="P14" i="5"/>
  <c r="R14" i="5"/>
  <c r="T14" i="5"/>
  <c r="D15" i="5"/>
  <c r="E15" i="5"/>
  <c r="F15" i="5"/>
  <c r="G15" i="5"/>
  <c r="H15" i="5"/>
  <c r="J15" i="5"/>
  <c r="K15" i="5"/>
  <c r="L15" i="5"/>
  <c r="M15" i="5"/>
  <c r="N15" i="5"/>
  <c r="P15" i="5"/>
  <c r="R15" i="5"/>
  <c r="T15" i="5"/>
  <c r="D16" i="5"/>
  <c r="E16" i="5"/>
  <c r="F16" i="5"/>
  <c r="G16" i="5"/>
  <c r="H16" i="5"/>
  <c r="J16" i="5"/>
  <c r="K16" i="5"/>
  <c r="L16" i="5"/>
  <c r="M16" i="5"/>
  <c r="N16" i="5"/>
  <c r="P16" i="5"/>
  <c r="R16" i="5"/>
  <c r="T16" i="5"/>
  <c r="D17" i="5"/>
  <c r="E17" i="5"/>
  <c r="F17" i="5"/>
  <c r="G17" i="5"/>
  <c r="H17" i="5"/>
  <c r="I17" i="5"/>
  <c r="J17" i="5"/>
  <c r="K17" i="5"/>
  <c r="L17" i="5"/>
  <c r="M17" i="5"/>
  <c r="N17" i="5"/>
  <c r="P17" i="5"/>
  <c r="R17" i="5"/>
  <c r="T17" i="5"/>
  <c r="D18" i="5"/>
  <c r="E18" i="5"/>
  <c r="F18" i="5"/>
  <c r="G18" i="5"/>
  <c r="H18" i="5"/>
  <c r="I18" i="5"/>
  <c r="J18" i="5"/>
  <c r="L18" i="5"/>
  <c r="M18" i="5"/>
  <c r="N18" i="5"/>
  <c r="P18" i="5"/>
  <c r="R18" i="5"/>
  <c r="T18" i="5"/>
  <c r="J22" i="5" l="1"/>
  <c r="T22" i="5"/>
  <c r="H22" i="5"/>
  <c r="R22" i="5"/>
  <c r="G22" i="5"/>
  <c r="P22" i="5"/>
  <c r="F22" i="5"/>
  <c r="N22" i="5"/>
  <c r="M22" i="5"/>
  <c r="L22" i="5"/>
  <c r="D22" i="5"/>
  <c r="C18" i="5"/>
  <c r="C17" i="5"/>
  <c r="C16" i="5"/>
  <c r="C15" i="5"/>
  <c r="C14" i="5"/>
  <c r="C13" i="5"/>
  <c r="C12" i="5"/>
  <c r="C11" i="5"/>
  <c r="C10" i="5"/>
  <c r="C9" i="5"/>
  <c r="C8" i="5"/>
  <c r="C7" i="5"/>
  <c r="D7" i="4"/>
  <c r="E7" i="4"/>
  <c r="F7" i="4"/>
  <c r="G7" i="4"/>
  <c r="D8" i="4"/>
  <c r="E8" i="4"/>
  <c r="F8" i="4"/>
  <c r="G8" i="4"/>
  <c r="D9" i="4"/>
  <c r="E9" i="4"/>
  <c r="F9" i="4"/>
  <c r="G9" i="4"/>
  <c r="D10" i="4"/>
  <c r="E10" i="4"/>
  <c r="F10" i="4"/>
  <c r="G10" i="4"/>
  <c r="D11" i="4"/>
  <c r="E11" i="4"/>
  <c r="F11" i="4"/>
  <c r="G11" i="4"/>
  <c r="D12" i="4"/>
  <c r="E12" i="4"/>
  <c r="F12" i="4"/>
  <c r="G12" i="4"/>
  <c r="D13" i="4"/>
  <c r="E13" i="4"/>
  <c r="F13" i="4"/>
  <c r="G13" i="4"/>
  <c r="D14" i="4"/>
  <c r="E14" i="4"/>
  <c r="F14" i="4"/>
  <c r="G14" i="4"/>
  <c r="D15" i="4"/>
  <c r="E15" i="4"/>
  <c r="F15" i="4"/>
  <c r="G15" i="4"/>
  <c r="D16" i="4"/>
  <c r="E16" i="4"/>
  <c r="F16" i="4"/>
  <c r="G16" i="4"/>
  <c r="D17" i="4"/>
  <c r="E17" i="4"/>
  <c r="F17" i="4"/>
  <c r="G17" i="4"/>
  <c r="D18" i="4"/>
  <c r="E18" i="4"/>
  <c r="F18" i="4"/>
  <c r="G18" i="4"/>
  <c r="D19" i="4"/>
  <c r="E19" i="4"/>
  <c r="F19" i="4"/>
  <c r="G19" i="4"/>
  <c r="D20" i="4"/>
  <c r="E20" i="4"/>
  <c r="F20" i="4"/>
  <c r="G20" i="4"/>
  <c r="C20" i="4"/>
  <c r="C19" i="4"/>
  <c r="C18" i="4"/>
  <c r="C17" i="4"/>
  <c r="C16" i="4"/>
  <c r="C15" i="4"/>
  <c r="C14" i="4"/>
  <c r="C13" i="4"/>
  <c r="C12" i="4"/>
  <c r="C11" i="4"/>
  <c r="C10" i="4"/>
  <c r="C9" i="4"/>
  <c r="C8" i="4"/>
  <c r="C7" i="4"/>
  <c r="F7" i="3"/>
  <c r="F8" i="3"/>
  <c r="F9" i="3"/>
  <c r="F10" i="3"/>
  <c r="F11" i="3"/>
  <c r="F12" i="3"/>
  <c r="F13" i="3"/>
  <c r="F14" i="3"/>
  <c r="F15" i="3"/>
  <c r="F16" i="3"/>
  <c r="F17" i="3"/>
  <c r="F18" i="3"/>
  <c r="F19" i="3"/>
  <c r="F20" i="3"/>
  <c r="F21" i="3"/>
  <c r="F22" i="3"/>
  <c r="F23" i="3"/>
  <c r="F24" i="3"/>
  <c r="D7" i="3"/>
  <c r="E7" i="3"/>
  <c r="G7" i="3"/>
  <c r="H7" i="3"/>
  <c r="I7" i="3"/>
  <c r="J7" i="3"/>
  <c r="K7" i="3"/>
  <c r="L7" i="3"/>
  <c r="N7" i="3"/>
  <c r="P7" i="3"/>
  <c r="R7" i="3"/>
  <c r="T7" i="3"/>
  <c r="D8" i="3"/>
  <c r="E8" i="3"/>
  <c r="G8" i="3"/>
  <c r="H8" i="3"/>
  <c r="I8" i="3"/>
  <c r="J8" i="3"/>
  <c r="K8" i="3"/>
  <c r="L8" i="3"/>
  <c r="N8" i="3"/>
  <c r="P8" i="3"/>
  <c r="R8" i="3"/>
  <c r="T8" i="3"/>
  <c r="D9" i="3"/>
  <c r="E9" i="3"/>
  <c r="G9" i="3"/>
  <c r="H9" i="3"/>
  <c r="I9" i="3"/>
  <c r="J9" i="3"/>
  <c r="K9" i="3"/>
  <c r="L9" i="3"/>
  <c r="N9" i="3"/>
  <c r="P9" i="3"/>
  <c r="R9" i="3"/>
  <c r="T9" i="3"/>
  <c r="D10" i="3"/>
  <c r="E10" i="3"/>
  <c r="G10" i="3"/>
  <c r="J10" i="3"/>
  <c r="L10" i="3"/>
  <c r="N10" i="3"/>
  <c r="R10" i="3"/>
  <c r="T10" i="3"/>
  <c r="D11" i="3"/>
  <c r="E11" i="3"/>
  <c r="G11" i="3"/>
  <c r="H11" i="3"/>
  <c r="I11" i="3"/>
  <c r="J11" i="3"/>
  <c r="L11" i="3"/>
  <c r="N11" i="3"/>
  <c r="P11" i="3"/>
  <c r="R11" i="3"/>
  <c r="T11" i="3"/>
  <c r="D12" i="3"/>
  <c r="E12" i="3"/>
  <c r="G12" i="3"/>
  <c r="J12" i="3"/>
  <c r="L12" i="3"/>
  <c r="N12" i="3"/>
  <c r="R12" i="3"/>
  <c r="T12" i="3"/>
  <c r="D13" i="3"/>
  <c r="E13" i="3"/>
  <c r="G13" i="3"/>
  <c r="H13" i="3"/>
  <c r="J13" i="3"/>
  <c r="L13" i="3"/>
  <c r="N13" i="3"/>
  <c r="P13" i="3"/>
  <c r="R13" i="3"/>
  <c r="T13" i="3"/>
  <c r="D14" i="3"/>
  <c r="E14" i="3"/>
  <c r="G14" i="3"/>
  <c r="J14" i="3"/>
  <c r="L14" i="3"/>
  <c r="N14" i="3"/>
  <c r="R14" i="3"/>
  <c r="T14" i="3"/>
  <c r="D15" i="3"/>
  <c r="E15" i="3"/>
  <c r="G15" i="3"/>
  <c r="H15" i="3"/>
  <c r="J15" i="3"/>
  <c r="L15" i="3"/>
  <c r="N15" i="3"/>
  <c r="P15" i="3"/>
  <c r="R15" i="3"/>
  <c r="T15" i="3"/>
  <c r="D16" i="3"/>
  <c r="E16" i="3"/>
  <c r="G16" i="3"/>
  <c r="J16" i="3"/>
  <c r="L16" i="3"/>
  <c r="N16" i="3"/>
  <c r="P16" i="3"/>
  <c r="R16" i="3"/>
  <c r="T16" i="3"/>
  <c r="D17" i="3"/>
  <c r="E17" i="3"/>
  <c r="G17" i="3"/>
  <c r="H17" i="3"/>
  <c r="I17" i="3"/>
  <c r="J17" i="3"/>
  <c r="L17" i="3"/>
  <c r="N17" i="3"/>
  <c r="P17" i="3"/>
  <c r="R17" i="3"/>
  <c r="T17" i="3"/>
  <c r="D18" i="3"/>
  <c r="E18" i="3"/>
  <c r="G18" i="3"/>
  <c r="H18" i="3"/>
  <c r="J18" i="3"/>
  <c r="L18" i="3"/>
  <c r="M18" i="3"/>
  <c r="N18" i="3"/>
  <c r="O18" i="3"/>
  <c r="R18" i="3"/>
  <c r="T18" i="3"/>
  <c r="D19" i="3"/>
  <c r="E19" i="3"/>
  <c r="G19" i="3"/>
  <c r="J19" i="3"/>
  <c r="L19" i="3"/>
  <c r="M19" i="3"/>
  <c r="N19" i="3"/>
  <c r="O19" i="3"/>
  <c r="P19" i="3"/>
  <c r="R19" i="3"/>
  <c r="T19" i="3"/>
  <c r="D20" i="3"/>
  <c r="E20" i="3"/>
  <c r="G20" i="3"/>
  <c r="H20" i="3"/>
  <c r="I20" i="3"/>
  <c r="J20" i="3"/>
  <c r="L20" i="3"/>
  <c r="M20" i="3"/>
  <c r="N20" i="3"/>
  <c r="O20" i="3"/>
  <c r="R20" i="3"/>
  <c r="T20" i="3"/>
  <c r="D21" i="3"/>
  <c r="E21" i="3"/>
  <c r="G21" i="3"/>
  <c r="H21" i="3"/>
  <c r="I21" i="3"/>
  <c r="J21" i="3"/>
  <c r="L21" i="3"/>
  <c r="M21" i="3"/>
  <c r="N21" i="3"/>
  <c r="O21" i="3"/>
  <c r="P21" i="3"/>
  <c r="R21" i="3"/>
  <c r="T21" i="3"/>
  <c r="D22" i="3"/>
  <c r="E22" i="3"/>
  <c r="G22" i="3"/>
  <c r="L22" i="3"/>
  <c r="M22" i="3"/>
  <c r="N22" i="3"/>
  <c r="O22" i="3"/>
  <c r="R22" i="3"/>
  <c r="D23" i="3"/>
  <c r="E23" i="3"/>
  <c r="G23" i="3"/>
  <c r="H23" i="3"/>
  <c r="J23" i="3"/>
  <c r="L23" i="3"/>
  <c r="M23" i="3"/>
  <c r="N23" i="3"/>
  <c r="O23" i="3"/>
  <c r="P23" i="3"/>
  <c r="R23" i="3"/>
  <c r="T23" i="3"/>
  <c r="D24" i="3"/>
  <c r="E24" i="3"/>
  <c r="G24" i="3"/>
  <c r="J24" i="3"/>
  <c r="K24" i="3"/>
  <c r="L24" i="3"/>
  <c r="M24" i="3"/>
  <c r="P24" i="3"/>
  <c r="R24" i="3"/>
  <c r="T24" i="3"/>
  <c r="C24" i="3"/>
  <c r="C23" i="3"/>
  <c r="C22" i="3"/>
  <c r="C21" i="3"/>
  <c r="C20" i="3"/>
  <c r="C19" i="3"/>
  <c r="C18" i="3"/>
  <c r="C17" i="3"/>
  <c r="C16" i="3"/>
  <c r="C15" i="3"/>
  <c r="C14" i="3"/>
  <c r="C13" i="3"/>
  <c r="C12" i="3"/>
  <c r="C11" i="3"/>
  <c r="C10" i="3"/>
  <c r="C9" i="3"/>
  <c r="C8" i="3"/>
  <c r="C7" i="3"/>
  <c r="D16" i="2"/>
  <c r="W16" i="2" s="1"/>
  <c r="E16" i="2"/>
  <c r="F16" i="2"/>
  <c r="G16" i="2"/>
  <c r="H16" i="2"/>
  <c r="J16" i="2"/>
  <c r="K16" i="2"/>
  <c r="L16" i="2"/>
  <c r="N16" i="2"/>
  <c r="P16" i="2"/>
  <c r="R16" i="2"/>
  <c r="T16" i="2"/>
  <c r="D17" i="2"/>
  <c r="W17" i="2" s="1"/>
  <c r="E17" i="2"/>
  <c r="F17" i="2"/>
  <c r="G17" i="2"/>
  <c r="H17" i="2"/>
  <c r="J17" i="2"/>
  <c r="K17" i="2"/>
  <c r="L17" i="2"/>
  <c r="N17" i="2"/>
  <c r="P17" i="2"/>
  <c r="R17" i="2"/>
  <c r="T17" i="2"/>
  <c r="D18" i="2"/>
  <c r="W18" i="2" s="1"/>
  <c r="E18" i="2"/>
  <c r="F18" i="2"/>
  <c r="G18" i="2"/>
  <c r="H18" i="2"/>
  <c r="J18" i="2"/>
  <c r="K18" i="2"/>
  <c r="L18" i="2"/>
  <c r="N18" i="2"/>
  <c r="P18" i="2"/>
  <c r="R18" i="2"/>
  <c r="T18" i="2"/>
  <c r="D19" i="2"/>
  <c r="W19" i="2" s="1"/>
  <c r="E19" i="2"/>
  <c r="F19" i="2"/>
  <c r="G19" i="2"/>
  <c r="H19" i="2"/>
  <c r="I19" i="2"/>
  <c r="J19" i="2"/>
  <c r="K19" i="2"/>
  <c r="L19" i="2"/>
  <c r="N19" i="2"/>
  <c r="P19" i="2"/>
  <c r="R19" i="2"/>
  <c r="T19" i="2"/>
  <c r="D20" i="2"/>
  <c r="W20" i="2" s="1"/>
  <c r="E20" i="2"/>
  <c r="F20" i="2"/>
  <c r="G20" i="2"/>
  <c r="H20" i="2"/>
  <c r="J20" i="2"/>
  <c r="K20" i="2"/>
  <c r="L20" i="2"/>
  <c r="N20" i="2"/>
  <c r="P20" i="2"/>
  <c r="R20" i="2"/>
  <c r="T20" i="2"/>
  <c r="D21" i="2"/>
  <c r="W21" i="2" s="1"/>
  <c r="E21" i="2"/>
  <c r="F21" i="2"/>
  <c r="G21" i="2"/>
  <c r="H21" i="2"/>
  <c r="J21" i="2"/>
  <c r="L21" i="2"/>
  <c r="M21" i="2"/>
  <c r="N21" i="2"/>
  <c r="O21" i="2"/>
  <c r="P21" i="2"/>
  <c r="R21" i="2"/>
  <c r="T21" i="2"/>
  <c r="D22" i="2"/>
  <c r="W22" i="2" s="1"/>
  <c r="E22" i="2"/>
  <c r="F22" i="2"/>
  <c r="G22" i="2"/>
  <c r="H22" i="2"/>
  <c r="J22" i="2"/>
  <c r="K22" i="2"/>
  <c r="L22" i="2"/>
  <c r="N22" i="2"/>
  <c r="O22" i="2"/>
  <c r="P22" i="2"/>
  <c r="R22" i="2"/>
  <c r="T22" i="2"/>
  <c r="C22" i="2"/>
  <c r="C21" i="2"/>
  <c r="C20" i="2"/>
  <c r="C19" i="2"/>
  <c r="C18" i="2"/>
  <c r="C17" i="2"/>
  <c r="C16" i="2"/>
  <c r="C15" i="2"/>
  <c r="D14" i="2"/>
  <c r="W14" i="2" s="1"/>
  <c r="E14" i="2"/>
  <c r="F14" i="2"/>
  <c r="G14" i="2"/>
  <c r="H14" i="2"/>
  <c r="J14" i="2"/>
  <c r="K14" i="2"/>
  <c r="L14" i="2"/>
  <c r="N14" i="2"/>
  <c r="P14" i="2"/>
  <c r="R14" i="2"/>
  <c r="T14" i="2"/>
  <c r="C14" i="2"/>
  <c r="D13" i="2"/>
  <c r="W13" i="2" s="1"/>
  <c r="E13" i="2"/>
  <c r="F13" i="2"/>
  <c r="G13" i="2"/>
  <c r="H13" i="2"/>
  <c r="J13" i="2"/>
  <c r="K13" i="2"/>
  <c r="L13" i="2"/>
  <c r="N13" i="2"/>
  <c r="P13" i="2"/>
  <c r="R13" i="2"/>
  <c r="T13" i="2"/>
  <c r="C13" i="2"/>
  <c r="D12" i="2"/>
  <c r="W12" i="2" s="1"/>
  <c r="E12" i="2"/>
  <c r="F12" i="2"/>
  <c r="G12" i="2"/>
  <c r="H12" i="2"/>
  <c r="I12" i="2"/>
  <c r="J12" i="2"/>
  <c r="K12" i="2"/>
  <c r="L12" i="2"/>
  <c r="N12" i="2"/>
  <c r="P12" i="2"/>
  <c r="R12" i="2"/>
  <c r="T12" i="2"/>
  <c r="C12" i="2"/>
  <c r="D11" i="2"/>
  <c r="W11" i="2" s="1"/>
  <c r="E11" i="2"/>
  <c r="F11" i="2"/>
  <c r="G11" i="2"/>
  <c r="H11" i="2"/>
  <c r="J11" i="2"/>
  <c r="K11" i="2"/>
  <c r="L11" i="2"/>
  <c r="P11" i="2"/>
  <c r="R11" i="2"/>
  <c r="T11" i="2"/>
  <c r="C11" i="2"/>
  <c r="D10" i="2"/>
  <c r="W10" i="2" s="1"/>
  <c r="E10" i="2"/>
  <c r="F10" i="2"/>
  <c r="G10" i="2"/>
  <c r="H10" i="2"/>
  <c r="J10" i="2"/>
  <c r="K10" i="2"/>
  <c r="L10" i="2"/>
  <c r="M10" i="2"/>
  <c r="N10" i="2"/>
  <c r="P10" i="2"/>
  <c r="R10" i="2"/>
  <c r="T10" i="2"/>
  <c r="C10" i="2"/>
  <c r="D9" i="2"/>
  <c r="W9" i="2" s="1"/>
  <c r="E9" i="2"/>
  <c r="F9" i="2"/>
  <c r="G9" i="2"/>
  <c r="H9" i="2"/>
  <c r="J9" i="2"/>
  <c r="K9" i="2"/>
  <c r="L9" i="2"/>
  <c r="M9" i="2"/>
  <c r="N9" i="2"/>
  <c r="P9" i="2"/>
  <c r="R9" i="2"/>
  <c r="T9" i="2"/>
  <c r="C9" i="2"/>
  <c r="D8" i="2"/>
  <c r="W8" i="2" s="1"/>
  <c r="E8" i="2"/>
  <c r="F8" i="2"/>
  <c r="G8" i="2"/>
  <c r="H8" i="2"/>
  <c r="J8" i="2"/>
  <c r="K8" i="2"/>
  <c r="L8" i="2"/>
  <c r="M8" i="2"/>
  <c r="N8" i="2"/>
  <c r="P8" i="2"/>
  <c r="R8" i="2"/>
  <c r="T8" i="2"/>
  <c r="C8" i="2"/>
  <c r="D7" i="2"/>
  <c r="W7" i="2" s="1"/>
  <c r="E7" i="2"/>
  <c r="F7" i="2"/>
  <c r="G7" i="2"/>
  <c r="H7" i="2"/>
  <c r="J7" i="2"/>
  <c r="K7" i="2"/>
  <c r="L7" i="2"/>
  <c r="M7" i="2"/>
  <c r="N7" i="2"/>
  <c r="P7" i="2"/>
  <c r="R7" i="2"/>
  <c r="T7" i="2"/>
  <c r="C7" i="2"/>
  <c r="C22" i="5" l="1"/>
  <c r="F25" i="3"/>
  <c r="Z5" i="1"/>
  <c r="U8" i="5" s="1"/>
  <c r="Z6" i="1"/>
  <c r="U9" i="5" s="1"/>
  <c r="Z7" i="1"/>
  <c r="U10" i="5" s="1"/>
  <c r="Z8" i="1"/>
  <c r="U11" i="5" s="1"/>
  <c r="Z9" i="1"/>
  <c r="U12" i="5" s="1"/>
  <c r="Z10" i="1"/>
  <c r="U13" i="5" s="1"/>
  <c r="Z11" i="1"/>
  <c r="U14" i="5" s="1"/>
  <c r="Z12" i="1"/>
  <c r="U15" i="5" s="1"/>
  <c r="Z13" i="1"/>
  <c r="U16" i="5" s="1"/>
  <c r="Z14" i="1"/>
  <c r="U17" i="5" s="1"/>
  <c r="Z15" i="1"/>
  <c r="U18" i="5" s="1"/>
  <c r="Z16" i="1"/>
  <c r="U7" i="2" s="1"/>
  <c r="Z17" i="1"/>
  <c r="U8" i="2" s="1"/>
  <c r="Z18" i="1"/>
  <c r="U9" i="2" s="1"/>
  <c r="Z19" i="1"/>
  <c r="U10" i="2" s="1"/>
  <c r="Z20" i="1"/>
  <c r="U11" i="2" s="1"/>
  <c r="Z21" i="1"/>
  <c r="U12" i="2" s="1"/>
  <c r="Z22" i="1"/>
  <c r="U13" i="2" s="1"/>
  <c r="Z23" i="1"/>
  <c r="U14" i="2" s="1"/>
  <c r="Z24" i="1"/>
  <c r="U15" i="2" s="1"/>
  <c r="Z25" i="1"/>
  <c r="U16" i="2" s="1"/>
  <c r="Z26" i="1"/>
  <c r="U17" i="2" s="1"/>
  <c r="Z27" i="1"/>
  <c r="U18" i="2" s="1"/>
  <c r="Z28" i="1"/>
  <c r="U19" i="2" s="1"/>
  <c r="Z29" i="1"/>
  <c r="U20" i="2" s="1"/>
  <c r="Z30" i="1"/>
  <c r="U7" i="3" s="1"/>
  <c r="Z31" i="1"/>
  <c r="U8" i="3" s="1"/>
  <c r="Z32" i="1"/>
  <c r="U9" i="3" s="1"/>
  <c r="Z33" i="1"/>
  <c r="U10" i="3" s="1"/>
  <c r="Z34" i="1"/>
  <c r="U11" i="3" s="1"/>
  <c r="Z35" i="1"/>
  <c r="U12" i="3" s="1"/>
  <c r="Z36" i="1"/>
  <c r="U13" i="3" s="1"/>
  <c r="Z37" i="1"/>
  <c r="U14" i="3" s="1"/>
  <c r="Z38" i="1"/>
  <c r="U15" i="3" s="1"/>
  <c r="Z39" i="1"/>
  <c r="U16" i="3" s="1"/>
  <c r="Z40" i="1"/>
  <c r="U17" i="3" s="1"/>
  <c r="Z41" i="1"/>
  <c r="U18" i="3" s="1"/>
  <c r="Z42" i="1"/>
  <c r="U19" i="3" s="1"/>
  <c r="Z43" i="1"/>
  <c r="U20" i="3" s="1"/>
  <c r="Z44" i="1"/>
  <c r="U21" i="3" s="1"/>
  <c r="Z45" i="1"/>
  <c r="U21" i="2" s="1"/>
  <c r="Z47" i="1"/>
  <c r="U7" i="4" s="1"/>
  <c r="Z48" i="1"/>
  <c r="U8" i="4" s="1"/>
  <c r="Z49" i="1"/>
  <c r="U9" i="4" s="1"/>
  <c r="Z50" i="1"/>
  <c r="U10" i="4" s="1"/>
  <c r="Z51" i="1"/>
  <c r="U11" i="4" s="1"/>
  <c r="Z52" i="1"/>
  <c r="U12" i="4" s="1"/>
  <c r="Z53" i="1"/>
  <c r="U13" i="4" s="1"/>
  <c r="Z54" i="1"/>
  <c r="U14" i="4" s="1"/>
  <c r="Z55" i="1"/>
  <c r="U15" i="4" s="1"/>
  <c r="Z56" i="1"/>
  <c r="U16" i="4" s="1"/>
  <c r="Z57" i="1"/>
  <c r="U17" i="4" s="1"/>
  <c r="Z58" i="1"/>
  <c r="U22" i="2" s="1"/>
  <c r="Z59" i="1"/>
  <c r="U18" i="4" s="1"/>
  <c r="Z60" i="1"/>
  <c r="U19" i="4" s="1"/>
  <c r="Z61" i="1"/>
  <c r="U23" i="3" s="1"/>
  <c r="Z62" i="1"/>
  <c r="U24" i="3" s="1"/>
  <c r="Z63" i="1"/>
  <c r="U20" i="4" s="1"/>
  <c r="Z65" i="1"/>
  <c r="U20" i="5" s="1"/>
  <c r="Z4" i="1"/>
  <c r="X36" i="1"/>
  <c r="S13" i="3" s="1"/>
  <c r="X37" i="1"/>
  <c r="S14" i="3" s="1"/>
  <c r="X38" i="1"/>
  <c r="S15" i="3" s="1"/>
  <c r="X39" i="1"/>
  <c r="S16" i="3" s="1"/>
  <c r="X40" i="1"/>
  <c r="S17" i="3" s="1"/>
  <c r="X41" i="1"/>
  <c r="S18" i="3" s="1"/>
  <c r="X42" i="1"/>
  <c r="S19" i="3" s="1"/>
  <c r="X43" i="1"/>
  <c r="S20" i="3" s="1"/>
  <c r="X44" i="1"/>
  <c r="S21" i="3" s="1"/>
  <c r="X45" i="1"/>
  <c r="S21" i="2" s="1"/>
  <c r="X46" i="1"/>
  <c r="S22" i="3" s="1"/>
  <c r="X47" i="1"/>
  <c r="S7" i="4" s="1"/>
  <c r="X48" i="1"/>
  <c r="S8" i="4" s="1"/>
  <c r="X49" i="1"/>
  <c r="S9" i="4" s="1"/>
  <c r="X50" i="1"/>
  <c r="S10" i="4" s="1"/>
  <c r="X51" i="1"/>
  <c r="S11" i="4" s="1"/>
  <c r="X52" i="1"/>
  <c r="S12" i="4" s="1"/>
  <c r="X53" i="1"/>
  <c r="S13" i="4" s="1"/>
  <c r="X54" i="1"/>
  <c r="S14" i="4" s="1"/>
  <c r="X55" i="1"/>
  <c r="S15" i="4" s="1"/>
  <c r="X56" i="1"/>
  <c r="S16" i="4" s="1"/>
  <c r="X57" i="1"/>
  <c r="S17" i="4" s="1"/>
  <c r="X58" i="1"/>
  <c r="S22" i="2" s="1"/>
  <c r="X59" i="1"/>
  <c r="S18" i="4" s="1"/>
  <c r="X60" i="1"/>
  <c r="S19" i="4" s="1"/>
  <c r="X61" i="1"/>
  <c r="S23" i="3" s="1"/>
  <c r="X62" i="1"/>
  <c r="S24" i="3" s="1"/>
  <c r="X63" i="1"/>
  <c r="S20" i="4" s="1"/>
  <c r="X65" i="1"/>
  <c r="S20" i="5" s="1"/>
  <c r="X5" i="1"/>
  <c r="S8" i="5" s="1"/>
  <c r="X6" i="1"/>
  <c r="S9" i="5" s="1"/>
  <c r="X7" i="1"/>
  <c r="S10" i="5" s="1"/>
  <c r="X8" i="1"/>
  <c r="S11" i="5" s="1"/>
  <c r="X9" i="1"/>
  <c r="S12" i="5" s="1"/>
  <c r="X10" i="1"/>
  <c r="S13" i="5" s="1"/>
  <c r="X11" i="1"/>
  <c r="S14" i="5" s="1"/>
  <c r="X12" i="1"/>
  <c r="S15" i="5" s="1"/>
  <c r="X13" i="1"/>
  <c r="S16" i="5" s="1"/>
  <c r="X14" i="1"/>
  <c r="S17" i="5" s="1"/>
  <c r="X15" i="1"/>
  <c r="S18" i="5" s="1"/>
  <c r="X16" i="1"/>
  <c r="S7" i="2" s="1"/>
  <c r="X17" i="1"/>
  <c r="S8" i="2" s="1"/>
  <c r="X18" i="1"/>
  <c r="S9" i="2" s="1"/>
  <c r="X19" i="1"/>
  <c r="S10" i="2" s="1"/>
  <c r="X21" i="1"/>
  <c r="S12" i="2" s="1"/>
  <c r="X22" i="1"/>
  <c r="S13" i="2" s="1"/>
  <c r="X23" i="1"/>
  <c r="S14" i="2" s="1"/>
  <c r="X24" i="1"/>
  <c r="S15" i="2" s="1"/>
  <c r="X25" i="1"/>
  <c r="S16" i="2" s="1"/>
  <c r="X26" i="1"/>
  <c r="S17" i="2" s="1"/>
  <c r="X27" i="1"/>
  <c r="S18" i="2" s="1"/>
  <c r="X28" i="1"/>
  <c r="S19" i="2" s="1"/>
  <c r="X29" i="1"/>
  <c r="S20" i="2" s="1"/>
  <c r="X30" i="1"/>
  <c r="S7" i="3" s="1"/>
  <c r="X31" i="1"/>
  <c r="S8" i="3" s="1"/>
  <c r="X32" i="1"/>
  <c r="S9" i="3" s="1"/>
  <c r="X33" i="1"/>
  <c r="S10" i="3" s="1"/>
  <c r="X34" i="1"/>
  <c r="S11" i="3" s="1"/>
  <c r="X35" i="1"/>
  <c r="S12" i="3" s="1"/>
  <c r="X20" i="1"/>
  <c r="S11" i="2" s="1"/>
  <c r="V10" i="1"/>
  <c r="Q13" i="5" s="1"/>
  <c r="V11" i="1"/>
  <c r="Q14" i="5" s="1"/>
  <c r="V12" i="1"/>
  <c r="Q15" i="5" s="1"/>
  <c r="V13" i="1"/>
  <c r="Q16" i="5" s="1"/>
  <c r="V14" i="1"/>
  <c r="Q17" i="5" s="1"/>
  <c r="V15" i="1"/>
  <c r="Q18" i="5" s="1"/>
  <c r="V16" i="1"/>
  <c r="Q7" i="2" s="1"/>
  <c r="V17" i="1"/>
  <c r="Q8" i="2" s="1"/>
  <c r="V18" i="1"/>
  <c r="Q9" i="2" s="1"/>
  <c r="V19" i="1"/>
  <c r="Q10" i="2" s="1"/>
  <c r="V20" i="1"/>
  <c r="Q11" i="2" s="1"/>
  <c r="V21" i="1"/>
  <c r="Q12" i="2" s="1"/>
  <c r="V22" i="1"/>
  <c r="Q13" i="2" s="1"/>
  <c r="V23" i="1"/>
  <c r="Q14" i="2" s="1"/>
  <c r="V24" i="1"/>
  <c r="Q15" i="2" s="1"/>
  <c r="V25" i="1"/>
  <c r="Q16" i="2" s="1"/>
  <c r="V26" i="1"/>
  <c r="Q17" i="2" s="1"/>
  <c r="V27" i="1"/>
  <c r="Q18" i="2" s="1"/>
  <c r="V28" i="1"/>
  <c r="Q19" i="2" s="1"/>
  <c r="Q20" i="2"/>
  <c r="V30" i="1"/>
  <c r="Q7" i="3" s="1"/>
  <c r="V31" i="1"/>
  <c r="Q8" i="3" s="1"/>
  <c r="V32" i="1"/>
  <c r="Q9" i="3" s="1"/>
  <c r="V34" i="1"/>
  <c r="Q11" i="3" s="1"/>
  <c r="V36" i="1"/>
  <c r="Q13" i="3" s="1"/>
  <c r="V38" i="1"/>
  <c r="Q15" i="3" s="1"/>
  <c r="V39" i="1"/>
  <c r="Q16" i="3" s="1"/>
  <c r="V40" i="1"/>
  <c r="Q17" i="3" s="1"/>
  <c r="V42" i="1"/>
  <c r="Q19" i="3" s="1"/>
  <c r="V44" i="1"/>
  <c r="Q21" i="3" s="1"/>
  <c r="V45" i="1"/>
  <c r="Q21" i="2" s="1"/>
  <c r="V47" i="1"/>
  <c r="Q7" i="4" s="1"/>
  <c r="V48" i="1"/>
  <c r="Q8" i="4" s="1"/>
  <c r="V49" i="1"/>
  <c r="Q9" i="4" s="1"/>
  <c r="V50" i="1"/>
  <c r="Q10" i="4" s="1"/>
  <c r="V51" i="1"/>
  <c r="Q11" i="4" s="1"/>
  <c r="V52" i="1"/>
  <c r="Q12" i="4" s="1"/>
  <c r="V53" i="1"/>
  <c r="Q13" i="4" s="1"/>
  <c r="V54" i="1"/>
  <c r="Q14" i="4" s="1"/>
  <c r="V55" i="1"/>
  <c r="Q15" i="4" s="1"/>
  <c r="V56" i="1"/>
  <c r="Q16" i="4" s="1"/>
  <c r="V57" i="1"/>
  <c r="Q17" i="4" s="1"/>
  <c r="V58" i="1"/>
  <c r="Q22" i="2" s="1"/>
  <c r="V59" i="1"/>
  <c r="Q18" i="4" s="1"/>
  <c r="Q23" i="3"/>
  <c r="V62" i="1"/>
  <c r="Q24" i="3" s="1"/>
  <c r="V63" i="1"/>
  <c r="Q20" i="4" s="1"/>
  <c r="V65" i="1"/>
  <c r="Q20" i="5" s="1"/>
  <c r="V4" i="1"/>
  <c r="V5" i="1"/>
  <c r="Q8" i="5" s="1"/>
  <c r="V6" i="1"/>
  <c r="Q9" i="5" s="1"/>
  <c r="V7" i="1"/>
  <c r="Q10" i="5" s="1"/>
  <c r="V8" i="1"/>
  <c r="Q11" i="5" s="1"/>
  <c r="V9" i="1"/>
  <c r="Q12" i="5" s="1"/>
  <c r="U7" i="5" l="1"/>
  <c r="Q7" i="5"/>
  <c r="Q22" i="5"/>
  <c r="U22" i="5"/>
  <c r="U23" i="2"/>
  <c r="T23" i="2"/>
  <c r="S23" i="2"/>
  <c r="R23" i="2"/>
  <c r="Q23" i="2"/>
  <c r="P23" i="2"/>
  <c r="L23" i="2"/>
  <c r="J23" i="2"/>
  <c r="H23" i="2"/>
  <c r="G23" i="2"/>
  <c r="F23" i="2"/>
  <c r="E23" i="2"/>
  <c r="D23" i="2"/>
  <c r="W23" i="2" s="1"/>
  <c r="C23" i="2"/>
  <c r="H65" i="1"/>
  <c r="T65" i="1"/>
  <c r="O20" i="5" s="1"/>
  <c r="D21" i="4" l="1"/>
  <c r="E21" i="4"/>
  <c r="I69" i="1" s="1"/>
  <c r="I71" i="1" s="1"/>
  <c r="F21" i="4"/>
  <c r="G21" i="4"/>
  <c r="J21" i="4"/>
  <c r="L21" i="4"/>
  <c r="M21" i="4"/>
  <c r="N21" i="4"/>
  <c r="R21" i="4"/>
  <c r="S21" i="4"/>
  <c r="T21" i="4"/>
  <c r="U21" i="4"/>
  <c r="C21" i="4"/>
  <c r="D25" i="3"/>
  <c r="G25" i="3"/>
  <c r="L25" i="3"/>
  <c r="R25" i="3"/>
  <c r="S25" i="3"/>
  <c r="C25" i="3"/>
  <c r="E69" i="1" l="1"/>
  <c r="W69" i="1"/>
  <c r="W71" i="1" s="1"/>
  <c r="Q69" i="1"/>
  <c r="Q71" i="1" s="1"/>
  <c r="L69" i="1"/>
  <c r="L71" i="1" s="1"/>
  <c r="K69" i="1"/>
  <c r="K71" i="1" s="1"/>
  <c r="D69" i="1"/>
  <c r="D71" i="1" s="1"/>
  <c r="C69" i="1"/>
  <c r="C71" i="1" s="1"/>
  <c r="E71" i="1" l="1"/>
  <c r="P63" i="1" l="1"/>
  <c r="K20" i="4" s="1"/>
  <c r="N63" i="1"/>
  <c r="I20" i="4" s="1"/>
  <c r="H63" i="1"/>
  <c r="R58" i="1" l="1"/>
  <c r="M22" i="2" s="1"/>
  <c r="H24" i="3" l="1"/>
  <c r="H62" i="1"/>
  <c r="T62" i="1" l="1"/>
  <c r="O24" i="3" s="1"/>
  <c r="N24" i="3"/>
  <c r="N25" i="3" s="1"/>
  <c r="N62" i="1"/>
  <c r="I24" i="3" s="1"/>
  <c r="N61" i="1"/>
  <c r="I23" i="3" s="1"/>
  <c r="P61" i="1"/>
  <c r="K23" i="3" s="1"/>
  <c r="H61" i="1"/>
  <c r="M60" i="1" l="1"/>
  <c r="U60" i="1"/>
  <c r="P19" i="4" s="1"/>
  <c r="H60" i="1"/>
  <c r="H19" i="4" l="1"/>
  <c r="P21" i="4"/>
  <c r="V60" i="1"/>
  <c r="N60" i="1"/>
  <c r="I19" i="4" s="1"/>
  <c r="N59" i="1"/>
  <c r="I18" i="4" s="1"/>
  <c r="P59" i="1"/>
  <c r="K18" i="4" s="1"/>
  <c r="H59" i="1"/>
  <c r="Q19" i="4" l="1"/>
  <c r="Q21" i="4" s="1"/>
  <c r="N58" i="1" l="1"/>
  <c r="I22" i="2" s="1"/>
  <c r="H58" i="1"/>
  <c r="H56" i="1" l="1"/>
  <c r="H57" i="1"/>
  <c r="N56" i="1" l="1"/>
  <c r="I16" i="4" s="1"/>
  <c r="P56" i="1"/>
  <c r="K16" i="4" s="1"/>
  <c r="N55" i="1" l="1"/>
  <c r="I15" i="4" s="1"/>
  <c r="P55" i="1"/>
  <c r="K15" i="4" s="1"/>
  <c r="I14" i="4" l="1"/>
  <c r="T53" i="1" l="1"/>
  <c r="O13" i="4" s="1"/>
  <c r="P51" i="1" l="1"/>
  <c r="K11" i="4" s="1"/>
  <c r="N50" i="1" l="1"/>
  <c r="I10" i="4" s="1"/>
  <c r="N49" i="1" l="1"/>
  <c r="I9" i="4" s="1"/>
  <c r="T49" i="1"/>
  <c r="O9" i="4" s="1"/>
  <c r="T50" i="1"/>
  <c r="O10" i="4" s="1"/>
  <c r="T51" i="1"/>
  <c r="O11" i="4" s="1"/>
  <c r="T52" i="1"/>
  <c r="O12" i="4" s="1"/>
  <c r="T54" i="1"/>
  <c r="O14" i="4" s="1"/>
  <c r="H21" i="4" l="1"/>
  <c r="N48" i="1"/>
  <c r="I8" i="4" s="1"/>
  <c r="N47" i="1" l="1"/>
  <c r="T47" i="1"/>
  <c r="H47" i="1"/>
  <c r="H48" i="1"/>
  <c r="H49" i="1"/>
  <c r="H50" i="1"/>
  <c r="H51" i="1"/>
  <c r="H52" i="1"/>
  <c r="H53" i="1"/>
  <c r="H54" i="1"/>
  <c r="H55" i="1"/>
  <c r="O7" i="4" l="1"/>
  <c r="O21" i="4" s="1"/>
  <c r="I7" i="4"/>
  <c r="I21" i="4" s="1"/>
  <c r="Y46" i="1"/>
  <c r="Y67" i="1" s="1"/>
  <c r="T22" i="3" l="1"/>
  <c r="T25" i="3" s="1"/>
  <c r="Y69" i="1" s="1"/>
  <c r="Z46" i="1"/>
  <c r="Z67" i="1" s="1"/>
  <c r="U22" i="3" l="1"/>
  <c r="U25" i="3" s="1"/>
  <c r="Z69" i="1" s="1"/>
  <c r="J22" i="3"/>
  <c r="J25" i="3" s="1"/>
  <c r="O69" i="1" s="1"/>
  <c r="Y71" i="1"/>
  <c r="M46" i="1"/>
  <c r="P46" i="1"/>
  <c r="K22" i="3" s="1"/>
  <c r="H46" i="1"/>
  <c r="U46" i="1"/>
  <c r="P22" i="3" l="1"/>
  <c r="V46" i="1"/>
  <c r="Q22" i="3" s="1"/>
  <c r="N46" i="1"/>
  <c r="I22" i="3" s="1"/>
  <c r="H22" i="3"/>
  <c r="O71" i="1"/>
  <c r="N45" i="1"/>
  <c r="I21" i="2" s="1"/>
  <c r="H45" i="1"/>
  <c r="K21" i="3" l="1"/>
  <c r="P43" i="1" l="1"/>
  <c r="K20" i="3" s="1"/>
  <c r="U43" i="1" l="1"/>
  <c r="P20" i="3" l="1"/>
  <c r="V43" i="1"/>
  <c r="Q20" i="3" s="1"/>
  <c r="M42" i="1"/>
  <c r="H19" i="3" s="1"/>
  <c r="N42" i="1" l="1"/>
  <c r="I19" i="3" s="1"/>
  <c r="P42" i="1"/>
  <c r="K19" i="3" s="1"/>
  <c r="N41" i="1" l="1"/>
  <c r="I18" i="3" s="1"/>
  <c r="U41" i="1" l="1"/>
  <c r="P18" i="3" l="1"/>
  <c r="V41" i="1"/>
  <c r="Q18" i="3" s="1"/>
  <c r="P39" i="1"/>
  <c r="K16" i="3" s="1"/>
  <c r="M39" i="1" l="1"/>
  <c r="N39" i="1" l="1"/>
  <c r="I16" i="3" s="1"/>
  <c r="H16" i="3"/>
  <c r="N38" i="1"/>
  <c r="I15" i="3" s="1"/>
  <c r="M37" i="1" l="1"/>
  <c r="M67" i="1" s="1"/>
  <c r="U37" i="1"/>
  <c r="U67" i="1" s="1"/>
  <c r="P14" i="3" l="1"/>
  <c r="V37" i="1"/>
  <c r="Q14" i="3" s="1"/>
  <c r="N37" i="1"/>
  <c r="I14" i="3" s="1"/>
  <c r="H14" i="3"/>
  <c r="N36" i="1" l="1"/>
  <c r="I13" i="3" s="1"/>
  <c r="P35" i="1" l="1"/>
  <c r="K12" i="3" s="1"/>
  <c r="P36" i="1" l="1"/>
  <c r="K13" i="3" s="1"/>
  <c r="P37" i="1"/>
  <c r="K14" i="3" s="1"/>
  <c r="P38" i="1"/>
  <c r="K15" i="3" s="1"/>
  <c r="P40" i="1"/>
  <c r="K17" i="3" s="1"/>
  <c r="P41" i="1"/>
  <c r="K18" i="3" s="1"/>
  <c r="P45" i="1"/>
  <c r="K21" i="2" s="1"/>
  <c r="P47" i="1"/>
  <c r="K7" i="4" s="1"/>
  <c r="P48" i="1"/>
  <c r="K8" i="4" s="1"/>
  <c r="P12" i="3" l="1"/>
  <c r="V35" i="1"/>
  <c r="Q12" i="3" s="1"/>
  <c r="I12" i="3"/>
  <c r="H12" i="3"/>
  <c r="K21" i="4"/>
  <c r="K23" i="2"/>
  <c r="P34" i="1"/>
  <c r="K11" i="3" s="1"/>
  <c r="P33" i="1"/>
  <c r="K10" i="3" s="1"/>
  <c r="K25" i="3" l="1"/>
  <c r="N33" i="1"/>
  <c r="I10" i="3" s="1"/>
  <c r="I25" i="3" s="1"/>
  <c r="P10" i="3" l="1"/>
  <c r="P25" i="3" s="1"/>
  <c r="U69" i="1" s="1"/>
  <c r="V33" i="1"/>
  <c r="V67" i="1" s="1"/>
  <c r="H10" i="3"/>
  <c r="H25" i="3" s="1"/>
  <c r="M69" i="1" s="1"/>
  <c r="H30" i="1"/>
  <c r="H31" i="1"/>
  <c r="H32" i="1"/>
  <c r="H33" i="1"/>
  <c r="H34" i="1"/>
  <c r="H40" i="1"/>
  <c r="H44" i="1"/>
  <c r="H35" i="1"/>
  <c r="H36" i="1"/>
  <c r="H37" i="1"/>
  <c r="H38" i="1"/>
  <c r="H39" i="1"/>
  <c r="H41" i="1"/>
  <c r="H42" i="1"/>
  <c r="H43" i="1"/>
  <c r="M71" i="1" l="1"/>
  <c r="Q10" i="3"/>
  <c r="Q25" i="3" s="1"/>
  <c r="V69" i="1" s="1"/>
  <c r="U71" i="1"/>
  <c r="M12" i="2"/>
  <c r="R22" i="1"/>
  <c r="M13" i="2" s="1"/>
  <c r="R23" i="1"/>
  <c r="M14" i="2" s="1"/>
  <c r="R24" i="1"/>
  <c r="M15" i="2" s="1"/>
  <c r="R25" i="1"/>
  <c r="M16" i="2" s="1"/>
  <c r="R26" i="1"/>
  <c r="M17" i="2" s="1"/>
  <c r="R27" i="1"/>
  <c r="M18" i="2" s="1"/>
  <c r="R28" i="1"/>
  <c r="M19" i="2" s="1"/>
  <c r="R29" i="1"/>
  <c r="M20" i="2" s="1"/>
  <c r="R30" i="1"/>
  <c r="M7" i="3" s="1"/>
  <c r="R31" i="1"/>
  <c r="M8" i="3" s="1"/>
  <c r="R32" i="1"/>
  <c r="M9" i="3" s="1"/>
  <c r="R33" i="1"/>
  <c r="M10" i="3" s="1"/>
  <c r="R34" i="1"/>
  <c r="M11" i="3" s="1"/>
  <c r="R35" i="1"/>
  <c r="M12" i="3" s="1"/>
  <c r="R36" i="1"/>
  <c r="M13" i="3" s="1"/>
  <c r="R37" i="1"/>
  <c r="M14" i="3" s="1"/>
  <c r="R38" i="1"/>
  <c r="M15" i="3" s="1"/>
  <c r="R39" i="1"/>
  <c r="M16" i="3" s="1"/>
  <c r="R40" i="1"/>
  <c r="M17" i="3" s="1"/>
  <c r="T30" i="1"/>
  <c r="O7" i="3" s="1"/>
  <c r="T31" i="1"/>
  <c r="O8" i="3" s="1"/>
  <c r="T32" i="1"/>
  <c r="O9" i="3" s="1"/>
  <c r="O10" i="3"/>
  <c r="T34" i="1"/>
  <c r="O11" i="3" s="1"/>
  <c r="T35" i="1"/>
  <c r="O12" i="3" s="1"/>
  <c r="T36" i="1"/>
  <c r="O13" i="3" s="1"/>
  <c r="T37" i="1"/>
  <c r="O14" i="3" s="1"/>
  <c r="T38" i="1"/>
  <c r="O15" i="3" s="1"/>
  <c r="T39" i="1"/>
  <c r="O16" i="3" s="1"/>
  <c r="T40" i="1"/>
  <c r="O17" i="3" s="1"/>
  <c r="X4" i="1"/>
  <c r="X67" i="1" s="1"/>
  <c r="T16" i="1"/>
  <c r="O7" i="2" s="1"/>
  <c r="T17" i="1"/>
  <c r="O8" i="2" s="1"/>
  <c r="T18" i="1"/>
  <c r="O9" i="2" s="1"/>
  <c r="T19" i="1"/>
  <c r="O10" i="2" s="1"/>
  <c r="T21" i="1"/>
  <c r="O12" i="2" s="1"/>
  <c r="T22" i="1"/>
  <c r="O13" i="2" s="1"/>
  <c r="T23" i="1"/>
  <c r="O14" i="2" s="1"/>
  <c r="T24" i="1"/>
  <c r="O15" i="2" s="1"/>
  <c r="T25" i="1"/>
  <c r="O16" i="2" s="1"/>
  <c r="T26" i="1"/>
  <c r="O17" i="2" s="1"/>
  <c r="T27" i="1"/>
  <c r="O18" i="2" s="1"/>
  <c r="T28" i="1"/>
  <c r="O19" i="2" s="1"/>
  <c r="T29" i="1"/>
  <c r="O20" i="2" s="1"/>
  <c r="T15" i="1"/>
  <c r="O18" i="5" s="1"/>
  <c r="T14" i="1"/>
  <c r="O17" i="5" s="1"/>
  <c r="T13" i="1"/>
  <c r="O16" i="5" s="1"/>
  <c r="T12" i="1"/>
  <c r="O15" i="5" s="1"/>
  <c r="R20" i="1"/>
  <c r="P15" i="1"/>
  <c r="P67" i="1" s="1"/>
  <c r="I20" i="2"/>
  <c r="N27" i="1"/>
  <c r="I18" i="2" s="1"/>
  <c r="N26" i="1"/>
  <c r="I17" i="2" s="1"/>
  <c r="N25" i="1"/>
  <c r="I16" i="2" s="1"/>
  <c r="N23" i="1"/>
  <c r="I14" i="2" s="1"/>
  <c r="N22" i="1"/>
  <c r="I13" i="2" s="1"/>
  <c r="N20" i="1"/>
  <c r="I11" i="2" s="1"/>
  <c r="N19" i="1"/>
  <c r="I10" i="2" s="1"/>
  <c r="N18" i="1"/>
  <c r="I9" i="2" s="1"/>
  <c r="I8" i="2"/>
  <c r="I7" i="2"/>
  <c r="N13" i="1"/>
  <c r="I16" i="5" s="1"/>
  <c r="N12" i="1"/>
  <c r="I15" i="5" s="1"/>
  <c r="N8" i="1"/>
  <c r="I11" i="5" s="1"/>
  <c r="N7" i="1"/>
  <c r="I10" i="5" s="1"/>
  <c r="N6" i="1"/>
  <c r="I9" i="5" s="1"/>
  <c r="N4" i="1"/>
  <c r="M11" i="2" l="1"/>
  <c r="R67" i="1"/>
  <c r="I7" i="5"/>
  <c r="N67" i="1"/>
  <c r="I22" i="5"/>
  <c r="K18" i="5"/>
  <c r="S7" i="5"/>
  <c r="M25" i="3"/>
  <c r="O25" i="3"/>
  <c r="M23" i="2"/>
  <c r="I23" i="2"/>
  <c r="V71" i="1"/>
  <c r="Z71" i="1"/>
  <c r="S20" i="1"/>
  <c r="S67" i="1" s="1"/>
  <c r="S22" i="5" l="1"/>
  <c r="X69" i="1" s="1"/>
  <c r="X71" i="1" s="1"/>
  <c r="K22" i="5"/>
  <c r="P69" i="1" s="1"/>
  <c r="P71" i="1" s="1"/>
  <c r="T20" i="1"/>
  <c r="O11" i="2" s="1"/>
  <c r="O23" i="2" s="1"/>
  <c r="N11" i="2"/>
  <c r="N23" i="2" s="1"/>
  <c r="S69" i="1" s="1"/>
  <c r="R69" i="1"/>
  <c r="R71" i="1" s="1"/>
  <c r="N69" i="1"/>
  <c r="N71" i="1" s="1"/>
  <c r="H16" i="1"/>
  <c r="H17" i="1"/>
  <c r="H18" i="1"/>
  <c r="H19" i="1"/>
  <c r="H20" i="1"/>
  <c r="H21" i="1"/>
  <c r="H22" i="1"/>
  <c r="H23" i="1"/>
  <c r="H24" i="1"/>
  <c r="H25" i="1"/>
  <c r="H26" i="1"/>
  <c r="H27" i="1"/>
  <c r="H28" i="1"/>
  <c r="H29" i="1"/>
  <c r="S71" i="1" l="1"/>
  <c r="T11" i="1"/>
  <c r="O14" i="5" s="1"/>
  <c r="T10" i="1"/>
  <c r="O13" i="5" s="1"/>
  <c r="T9" i="1"/>
  <c r="O12" i="5" s="1"/>
  <c r="T8" i="1"/>
  <c r="O11" i="5" s="1"/>
  <c r="T7" i="1"/>
  <c r="O10" i="5" s="1"/>
  <c r="T6" i="1"/>
  <c r="O9" i="5" s="1"/>
  <c r="T5" i="1"/>
  <c r="O8" i="5" s="1"/>
  <c r="T4" i="1"/>
  <c r="O7" i="5" l="1"/>
  <c r="T67" i="1"/>
  <c r="O22" i="5"/>
  <c r="T69" i="1" s="1"/>
  <c r="F5" i="1"/>
  <c r="H5" i="1"/>
  <c r="F6" i="1"/>
  <c r="H6" i="1"/>
  <c r="H7" i="1"/>
  <c r="H8" i="1"/>
  <c r="H9" i="1"/>
  <c r="H10" i="1"/>
  <c r="H11" i="1"/>
  <c r="H12" i="1"/>
  <c r="H13" i="1"/>
  <c r="H14" i="1"/>
  <c r="H15" i="1"/>
  <c r="F4" i="1"/>
  <c r="H4" i="1"/>
  <c r="H69" i="1" l="1"/>
  <c r="H67" i="1"/>
  <c r="G69" i="1"/>
  <c r="G67" i="1"/>
  <c r="F69" i="1"/>
  <c r="F67" i="1"/>
  <c r="T71" i="1"/>
  <c r="H71" i="1" l="1"/>
  <c r="G71" i="1"/>
  <c r="F71" i="1"/>
</calcChain>
</file>

<file path=xl/sharedStrings.xml><?xml version="1.0" encoding="utf-8"?>
<sst xmlns="http://schemas.openxmlformats.org/spreadsheetml/2006/main" count="354" uniqueCount="147">
  <si>
    <t>Месторасположения</t>
  </si>
  <si>
    <t>Протяженность, км</t>
  </si>
  <si>
    <t>Площадь, м2</t>
  </si>
  <si>
    <t>Бюджетные ассигнования, предусмотренные соглашением</t>
  </si>
  <si>
    <t>Тип покрытия</t>
  </si>
  <si>
    <t>Обоснование</t>
  </si>
  <si>
    <t>Общая сумма</t>
  </si>
  <si>
    <t>Сумма сметной документации</t>
  </si>
  <si>
    <t>асф.</t>
  </si>
  <si>
    <t>№ п.п.</t>
  </si>
  <si>
    <t>Возвратные</t>
  </si>
  <si>
    <t>гранулят</t>
  </si>
  <si>
    <t>металл</t>
  </si>
  <si>
    <t>т</t>
  </si>
  <si>
    <t>м3</t>
  </si>
  <si>
    <t>сумма</t>
  </si>
  <si>
    <t>асф., ц/б</t>
  </si>
  <si>
    <t>щебень</t>
  </si>
  <si>
    <t>Утилизация</t>
  </si>
  <si>
    <t>асфальт</t>
  </si>
  <si>
    <t>грунт</t>
  </si>
  <si>
    <t>БК</t>
  </si>
  <si>
    <t>ж/б</t>
  </si>
  <si>
    <t>Капитальный ремонт автомобильной дороги по ул. Леселидзе от дома №59 до кладбища в Хостинском районе города Сочи</t>
  </si>
  <si>
    <t>Ремонт ул. Верхняя Лысая гора от ПК0+000 (дом № 11) до ПК0+485 в Хостинском районе города Сочи</t>
  </si>
  <si>
    <t>Местный бюджет (5%)</t>
  </si>
  <si>
    <t>ИТОГО</t>
  </si>
  <si>
    <r>
      <t>K1530+K1528+K1302+K1300+K1292+K1290+K1288+K1278+K1266+K1264+K1262+K1250+</t>
    </r>
    <r>
      <rPr>
        <sz val="18"/>
        <color rgb="FFFF0000"/>
        <rFont val="Calibri"/>
        <family val="2"/>
        <charset val="204"/>
        <scheme val="minor"/>
      </rPr>
      <t>Q1246</t>
    </r>
    <r>
      <rPr>
        <sz val="18"/>
        <color theme="1"/>
        <rFont val="Calibri"/>
        <family val="2"/>
        <scheme val="minor"/>
      </rPr>
      <t>+K1240+K1238+K1224+K1218+K1216+K1196+K1184+K1182+K1174+K1167+K1165+K1129+K1125+K1079+K1074+K1067+K1057+K1055+K1053+K1049+K1047+K1045+K1041+K1039+K1043+K535+K1037+K1035+K1031+K973+K968+K966+K962+K914+K1402+K1087+K1089+K910+K897+K895+K875+K872+K786+K736+K734+K724+K704+K688+K684+K682+K678+K674+K664+K662+K660+K656+K654+K646+K644+K619+K614+K608+K596+K594+K591+K561+K559+K557+K555+K533+K493+K491+K439+K433+K427+K425+K420+K405+K395+K393+K387+K346+K338+K318+K316+K314+K281+K275+K269+K264+K244+K239+K229+K135+K133+K131+K129+K126+K110+K92+K73+K63+K55+K53+K51+K37+K429+K431+K624</t>
    </r>
  </si>
  <si>
    <t>Ремонт ул. Анапской от ПК00+00 (дом № 25) до ПК04+00 в Центральном районе города Сочи</t>
  </si>
  <si>
    <t>Ремонт ул. Волжской от ПК0+000 (ул. Виноградная) до ПК13+30 в Центральном районе города Сочи</t>
  </si>
  <si>
    <t>Краевой бюджет (15%)</t>
  </si>
  <si>
    <t>Федеральный бюджет (80%)</t>
  </si>
  <si>
    <t>Ремонт ул. Островского от ПК00+00 (пер. Шкиперский) до ПК10+86 (ул. Московская) в Центральном районе города Сочи</t>
  </si>
  <si>
    <t>Ремонт ул. Пластунской от ПК00+00  (дом №2 Б по пер. Грузинский) до ПК02+28, от ПК00+00 (развязка на ул. Пластунская) до ПК07+50, от ПК00+00 (дом № 155 к3) до ПК11+33, от ПК00+00 (дом № 198 А) до ПК06+32  в Центральном районе города Сочи</t>
  </si>
  <si>
    <t>Ремонт ул. Полтавской от ПК00+00 (дом № 72 по ул. Волжская) до ПК13+33 и ПК00+00 (дом № 10) до ПК02+02 в Центральном районе города Сочи</t>
  </si>
  <si>
    <t>Ремонт ул. Севастопольской от ПК00+00 (ул. Тоннельная) до ПК07+80 (ул. Альпийская) в Центральном районе города Сочи</t>
  </si>
  <si>
    <t>Ремонт пер. Бараташвили от ПК00+00 (ул. Краснодонская) до ПК02+21 и ПК0+000 (дом №5) до ПК00+37 и ПК0+000 (дома № 14А) ПК00+84 в Центральном районе города Сочи</t>
  </si>
  <si>
    <t>Ремонт пер. Заводского от ПК00+00  (ул. Конституции СССР) до ПК01+38 в Центральном районе города Сочи</t>
  </si>
  <si>
    <t>Ремонт пер. Чехова от ПК00+00 (ул. Донская) до ПК03+74 в Центральном районе города Сочи</t>
  </si>
  <si>
    <t>Ремонт ул. Докучаева от ПК00+00 (ул. Альпийская) до ПК05+12 в Центральном районе города Сочи</t>
  </si>
  <si>
    <t>Ремонт ул. Загородной от ПК00+00 (дом № 22) до ПК05+10  в Центральном районе города Сочи</t>
  </si>
  <si>
    <t>Ремонт пер. Коломенского от ПК00+00 (ул. Мира) до ПК02+00 (ул. Пограничная) в с. Веселое в Адлерском районе города Сочи</t>
  </si>
  <si>
    <t>Ремонт ул. Заречной от ПК00+00 (ул. Искра) до ПК06+80 (дом № 1а по ул. Мостовая) в с. Верхнениколаевское в Адлерском районе города Сочи</t>
  </si>
  <si>
    <t>Ремонт ул. Защитников Кавказа от ПК00+00 (ул. Калиновая) до ПК48+00 (ул. Ачишховская) в пгт. Красная Поляна в Адлерском районе города Сочи</t>
  </si>
  <si>
    <t>Ремонт ул. Пещеры от ПК00+00 (дом № 8 по ул. Шолоховская) до ПК22+00 в с. Воронцовка в Адлерском районе города Сочи</t>
  </si>
  <si>
    <t>Ремонт ул. Виноградной от ПК00+00 (ул. Школьная) до ПК03+38 в с. Красная Воля в Адлерском районе города Сочи</t>
  </si>
  <si>
    <t>Ремонт ул. Витебской от ПК00+00 (ул. Светогорская) до ПК03+20 (дом № 17) в с. Нижняя Шиловка в Адлерском районе города Сочи</t>
  </si>
  <si>
    <t>Ремонт ул. Театральной от ПК00+00 (ул. Нагорная)  до ПК01+50 и от ПК00+00 (ул. Курортный проспект) ПК04+25 (ул. Черноморская) в  Центральном районе города Сочи</t>
  </si>
  <si>
    <t>Ремонт ул. Ворошиловградской от ПК00+00 (ул. Урожайная) до ПК15+50 и от ПК00+00 (дом № 61 а) до ПК03+70 в с. Верхневеселое в Адлерском районе города Сочи</t>
  </si>
  <si>
    <t>Ремонт ул. Липецкой от ПК00+00 (ул. Брянская) до ПК15+50 в с. Липники в Адлерском районе города Сочи</t>
  </si>
  <si>
    <t>Ремонт ул. Мичурина от ПК00+00 (дом № 1) до ПК11+15 (дом № 41а) в с. Каштаны в Адлерском районе города Сочи</t>
  </si>
  <si>
    <t>Ремонт ул. Налбандяна от ПК00+00 (ул. Светогорская) до ПК04+30 (дом № 12 по ул. Налбандяна) в с. Нижняя Шиловка в Адлерском районе города Сочи</t>
  </si>
  <si>
    <t>Ремонт ул. Пограничной от ПК00+00 (ул. Мира) до ПК11+65 (дом № 34) в с. Веселое в Адлерском районе города Сочи</t>
  </si>
  <si>
    <t>Ремонт ул. Армянской от ПК00+00 (ул. Краснодонская) до ПК25+17 в с. Барановка в Хостинском районе города Сочи</t>
  </si>
  <si>
    <t>Ремонт ул. Джапаридзе от ПК00+00 (ул. Краснодонская) до ПК58+00 в с. Пластунка в Хостинском районе города Сочи</t>
  </si>
  <si>
    <t>Ремонт ул. Леселидзе от ПК00+00 (дом № 16 а) до ПК17+94 и от ПК00+00 (дом № 56/3) до ПК01+35 в с. Пластунка в Хостинском районе города Сочи</t>
  </si>
  <si>
    <t>Ремонт пер. Надежды от ПК00+00 (дом № 1/1) до ПК03+00 в с. Краевско-Армянское в Хостинском районе города Сочи</t>
  </si>
  <si>
    <t>Ремонт пер. Песочного от ПК00+00 (ул. Урожайная) до ПК12+41 в с. Прогресс в Хостинском районе города Сочи</t>
  </si>
  <si>
    <t>Ремонт пер. Совхозного от ПК00+00 (ул. Абовяна) до ПК05+95 в с. Верхний Юрт в Хостинском районе города Сочи</t>
  </si>
  <si>
    <t>Ремонт ул. 20 Горнострелковой дивизии от ПК00+00 (дом № 18 а) до ПК09+00 в Хостинском районе города Сочи</t>
  </si>
  <si>
    <t>Ремонт ул. Глинки от ПК00+00 (ФАД А-147) до ПК02+00 (ул. Победы) в пос. Лазаревское в Лазаревском районе города Сочи</t>
  </si>
  <si>
    <t>Ремонт ул. Ленинградской от ПК02+00 (ПК00+00 ФАД А-147) до ПК13+20 в пос. Дагомыс в Лазаревском районе города Сочи</t>
  </si>
  <si>
    <t>Ремонт пер. Алексеевского от ПК00+00 (ул. Алексеевская) до ПК04+80 в с. Алексеевское в Лазаревском районе города Сочи</t>
  </si>
  <si>
    <t>Ремонт пер. Кристального от ПК00+00 (ул. Ровная) до ПК02+60 в ауле Тхагапш в Лазаревском районе города Сочи</t>
  </si>
  <si>
    <t>Ремонт пер. Масис от ПК00+00 (ул. Новошкольная) до ПК09+00 (дом № 10) в с. Сергей-Поле в Лазаревском районе города Сочи</t>
  </si>
  <si>
    <t>Ремонт ул. Алтайской от ПК00+00 (ул. Декабристов) до ПК05+64 (ул. Обходная) в пос. Лоо в Лазаревском районе города Сочи</t>
  </si>
  <si>
    <t>Ремонт ул. Арташатской от ПК00+00 (ул. Череповецкая) до ПК35+50 (ул. Иджеванская) в с. Верхнеякорная Щель в Лазаревском районе города Сочи</t>
  </si>
  <si>
    <t>Ремонт ул. Балтийской от ПК00+00 (ул. Летняя) до ПК04+00 (дом № 27 по ул. Балтийская) в пос. Дагомыс в Лазаревском районе города Сочи</t>
  </si>
  <si>
    <t>Ремонт ул. Бюроканской от ПК00+00 (ул. Рязанская) до ПК15+00 (ул.Холмская) в с. Детляжка в Лазаревском районе города Сочи</t>
  </si>
  <si>
    <t>Ремонт ул. Космической от ПК00+00 (автомобильная дорога п. Дагомыс - с. Солохаул) до ПК21+70 в с. Волковка в Лазаревском районе города Сочи</t>
  </si>
  <si>
    <t>Ремонт ул. Кузнечной от ПК00+00 (ул. Обзорная) до ПК24+28  и от ПК00+00 (дом № 24) до ПК05+00 (дом № 34)  в с. Горное Лоо в Лазаревском районе города Сочи</t>
  </si>
  <si>
    <t>Ремонт ул. Хризантем от ПК00+00 (дом № 1) до ПК02+70 (дом № 15) в п. Аше в Лазаревском районе города Сочи</t>
  </si>
  <si>
    <t>Ремонт ул. Юности от ПК00+00 (ФАД А-147) до ПК02+00 (дом № 7) в п. Аше в Лазаревском районе города Сочи</t>
  </si>
  <si>
    <t>Ремонт ул. Черновицкой от ПК00+00 (дом № 19) до ПК18+00 в с. Верхневеселое в Адлерском районе города Сочи</t>
  </si>
  <si>
    <t>Ремонт ул. Победы от ПК00+00 (дом №2а) до ПК38+00 (ФАД А-147) в пос. Лазаревское в Лазаревском районе города Сочи</t>
  </si>
  <si>
    <t>Ремонт ул. Вознесенской от ПК00+00 (дом №1) до ПК15+00 (ул. Защитников Кавказа) в пгт. Красная Поляна в Адлерском районе города Сочи</t>
  </si>
  <si>
    <t>Ремонт ул. Гаражной от ПК00+00 (дом № 65 по ул. Эстонская) до ПК03+60 (дом № 55/1 по ул. Березовая) в с. Эстосадок в Адлерском районе города Сочи</t>
  </si>
  <si>
    <t xml:space="preserve"> Ремонт ул. Петрозаводской от ПК00+00 (ул. Гастелло) до ПК28+70 (дом № 63) в с. Орел-Изумруд в Адлерском районе города Сочи</t>
  </si>
  <si>
    <t>Ремонт ул. Павлова от ПК00+00 (ул. Янтарная) до ПК15+00 (пер. Павлова) в Лазаревском районе города Сочи</t>
  </si>
  <si>
    <t>Ремонт ул. Несебрской от ПК00+000 (ул. Конституции СССР) до ПК08+45 (ул. Войкова)  в Центральном районе города Сочи</t>
  </si>
  <si>
    <t>Ремонт ул. Красноармейской от ПК00+00 (ул. Гагарина) до ПК11+00 (ФАД А-147)  в Центральном районе города Сочи</t>
  </si>
  <si>
    <t>Ремонт ул. Советской от ПК00+00 (ул. Горького) до ПК04+80 (дом № 26а)  в Центральном районе города Сочи</t>
  </si>
  <si>
    <t>Ремонт ул. Красной от ПК00+00 (ул. Пионерская) до ПК15+80 в Центральном районе города Сочи</t>
  </si>
  <si>
    <t>Ремонт ул. 50 лет СССР от ПК00+00 (дом № 2а) до ПК11+52 (ул. Шоссейная) в Хостинском районе города Сочи</t>
  </si>
  <si>
    <t>Ремонт ул. Депутатской от ПК00+00 (дом №9/3) до ПК03+26 (ул. Дмитриевой) в Хостинском районе города Сочи</t>
  </si>
  <si>
    <t>Ремонт ул. Октября от ПК00+00 (ул. Шоссейная) до ПК06+15 (ул. Платановая) в Хостинском районе города Сочи</t>
  </si>
  <si>
    <t>Ремонт ул. Конституции СССР от ПК00+00 (ул. Пластунская) до ПК16+00 (Автодорожный мост через р. Сочи с устройством транспортной развязки в районе Краснодарского кольца) и от ПК00+00 (Автодорожный мост через р. Сочи с устройством транспортной развязки в районе Краснодарского кольца) до ПК06+50 и от ПК00+00 (дом № 42) до ПК17+30 (ул. Несебрская) в Центральном районе города Сочи</t>
  </si>
  <si>
    <t>Ремонт ул. Ачишховской от ПК00+00 (ул. Заповедная) до ПК20+40 (дом № 86) в пгт. Красная Поляна в Адлерском районе города Сочи</t>
  </si>
  <si>
    <t xml:space="preserve"> Ремонт ул. Дарвина от ПК00+00 (дом № 34) до ПК09+74 (ул.Камо) и от ПК00+00 (дом № 95) до ПК00+98 в Хостинском районе города Сочи</t>
  </si>
  <si>
    <t xml:space="preserve"> Ремонт ул. Искры от ПК00+00 (ул. Сухумское шоссе) до ПК22+30 в Хостинском районе города Сочи</t>
  </si>
  <si>
    <t>Ремонт пер. Донского от ПК01+00 (ПК00+00 ул. Пасечная) до ПК06+00 в Центральном районе города Сочи</t>
  </si>
  <si>
    <t>В адрес администрации города Сочи поступало обращение о необходимости ремонта дорожного полотна</t>
  </si>
  <si>
    <t>Автомобильная дорога находится в ненормативном состоянии. В адрес администрации города Сочи направлено предписание ГИБДД УВД по городу Сочи ГУ МВД России по Краснодарскому краю об устранении повреждений проезжей части на данной автомобильной дороге. По данной автомобильной дороге осуществляются регулярные пассажирские перевозки маршрутами: №30, (ул. Дагомысская  (ост. 4-я гор. больница) – ул. Полтавская), №83 (ул. Крымская -  ул. Донская  - ост. к/т Аэлита - ул. Бытха) и №119 (ул. Навагинская (ост. ж/д вокзал Сочи) - село Васильевка). Данная автомобильная дорога является подъездной к санаторию "Ставрополье" и санаторию "Октябрьский", ГКОУ школа-интернат № 2, а также к филиалу Российского Государственного Социального Университета</t>
  </si>
  <si>
    <t>Администрации города Сочи выдано предписание ГИБДД УВД по городу Сочи ГУ МВД России по Краснодарскому краю №23 ДН000318 об устранении повреждений проезжей части данной автомобильной дороги, поручение Главы города Сочи.</t>
  </si>
  <si>
    <t>В управление делами Президента РФ поступило коллективное обращение жителей района Мамайка о необходимости проведения ремонта на данной улице.</t>
  </si>
  <si>
    <t>Данная автомобильная дорога является подъездной к кварталу жилой застройки</t>
  </si>
  <si>
    <t>Данная автомобильная дорога является подъездной к торгово-офисным центрам, объекту показа "Площадь флагов", Администрации города Сочи, Администрации Центрального района города Сочи</t>
  </si>
  <si>
    <t>В адрес администрации города Сочи поступало обращение жителей о необходимости ремонта дорожного полотна. По данной автомобильной дороге осуществляются регулярные пассажирские перевозки маршруту №30 (ул. Дагомысская  (ост. 4-я гор. больница) – ул. Полтавская). Данная автомобильная дорога является подъездной к санаторию "Ставрополье" и санаторию "Октябрьский", ГКОУ школа-интернат № 2, а также к филиалу Российского Государственного Социального Университета</t>
  </si>
  <si>
    <t>В адрес администрации города Сочи поступали обращения жителей о необходимости ремонта дорожного полотна</t>
  </si>
  <si>
    <t>Поручение Главы города Сочи, также является подъездной к  объекту культурного наследия России федерального значения "Зимний театр"</t>
  </si>
  <si>
    <t>В адрес администрации города Сочи поступали многочисленные обращения жителей о необходимости ремонта дорожного полотна.</t>
  </si>
  <si>
    <t>По данной автомобильной дороге осуществляются регулярные пассажирские перевозки маршруту №24 (мор.вокзал Сочи - мемориал - ул. Альпийская (ост. ул. Докучаева))</t>
  </si>
  <si>
    <t>По данной автомобильной дороге осуществляются регулярные пассажирские перевозки маршруту №44к (маг. Перекресток - ул. Дмитриевой,  32 - ул. Верхняя Лысая гора (кольцевой)).</t>
  </si>
  <si>
    <t>В адрес администрации города Сочи поступали многочисленные обращения жителей о необходимости ремонта дорожного полотна</t>
  </si>
  <si>
    <t>В адрес администрации Краснодарского края поступало коллективное обращение жителей о необходимости ремонта дорожного полотна</t>
  </si>
  <si>
    <t>В адрес администрации города Сочи поступали обращения о необходимости ремонта дорожного полотна. Администрации города Сочи выдано предписание ГИБДД УВД по городу Сочи ГУ МВД России по Краснодарскому краю №23 ДН000310 об устранении повреждений проезжей части данной автомобильной дороги. Также на администрацию города Сочи и возбуждено исполнительное производство №23072/17/571015 об устранении недостатков эксплуатационного состояния проезжей части данной автомобильной дороги. По данной автомобильной дороге осуществляются регулярные пассажирские перевозки маршруту №102 (ост. Платановая аллея - село Пластунка  (ост. Ореховка)) и №201 (ост. Молодежная - село Пластунка (ул. Леселидзе))</t>
  </si>
  <si>
    <t>В адрес администрации города Сочи и администрации Краснодарского края поступали многочисленные жалобы о необходимости ремонта и капитального дорожного полотна. По данной автомобильной дороге осуществляются регулярные пассажирские перевозки маршруту №114 (морвокзал Сочи - село Пластунка, ул. Леселидзе), №201 (ост. Молодежная - село Пластунка (ул. Леселидзе))</t>
  </si>
  <si>
    <t>В адрес администрации города Сочи и  поступало обращение жителей о необходимости ремонта дорожного полотна</t>
  </si>
  <si>
    <t>Администрации горда Сочи выдано представление прокуратуры Адлерского района города Сочи №7-01-2018 о устранении недостатков эксплуатационного состояния проезжей части данной автомобильной дороги</t>
  </si>
  <si>
    <t>В адрес администрации города Сочи поступило обращение о необходимости ремонта дорожного полотна.  Также поручение Главы города Сочи. По данной автомобильной дороге осуществляются регулярные пассажирские перевозки маршрут №127 (ж/д вокзал Хоста - село Калиновое озеро - село Воронцовка). Данная автомобильная дорога является подъездной к объекту показа "Воронцовские пещеры</t>
  </si>
  <si>
    <t>В администрации города Сочи поступали обращение жителей и депутата Государственной Думы о необходимости ремонта дорожного полотна.</t>
  </si>
  <si>
    <t>Поручение Главы города Сочи, также по данной автомобильной дороге осуществляются регулярные пассажирские перевозки маршрут №127 (ж/д вокзал Хоста - село Калиновое озеро - село Воронцовка). Данная автомобильная дорога является подъездной к объекту показа "Воронцовские пещеры</t>
  </si>
  <si>
    <t>Данная автомобильная дорога является подъездной к кварталу жилой застройки.</t>
  </si>
  <si>
    <t xml:space="preserve">В управление делами Президента РФ поступали многочисленные обращения о необходимости проведения ремонта на данной улице. </t>
  </si>
  <si>
    <t>В администрацию города Сочи поступали обращения о необходимости ремонта дорожного полотна. По данной автомобильной дороге осуществляются регулярные пассажирские перевозки маршрутов: №68 (мкр. Лазаревское (ост. рынок ТВС) - в/с Янтарь), №69 (мкр. Лазаревское, ул. Малышева (ост. Дом Ветеранов) - ул. Свирская), №70 (мкр. Лазаревское, пер. Павлова  (ост. Казачий Хутор) - кафе Минутка)</t>
  </si>
  <si>
    <t>В администрацию города Сочи поступали обращения жителей о необходимости ремонта дорожного полотна</t>
  </si>
  <si>
    <t>В администрацию города Сочи и управление делами Президента РФ поступали обращения жителей о необходимости ремонта дорожного полотна. По данной автомобильной дороге осуществляются регулярные пассажирские перевозки маршрутов: №146 (мкр. Дагомыс - село Третья Рота), №208 (село Барановка – мкр. Дагомыс - село 3-я Рота – село Верхнее Учдере)</t>
  </si>
  <si>
    <t xml:space="preserve">В администрация города Сочи и администрацию Краснодарского края  поступали коллективное обращения жителей о необходимости ремонта дорожного полотна. </t>
  </si>
  <si>
    <t>В администрация города Сочи поступали обращения о необходимости ремонта дорожного полотна</t>
  </si>
  <si>
    <t>В администрация города Сочи поступали обращения жителей о необходимости ремонта дорожного полотна.  Также в администрацию горда Сочи выдано предписание ГИБДД УВД по городу Сочи ГУ МВД России по Краснодарскому краю№23 ДН 000223 о принятии мер по привидению проезжей части в надлежащее состояние.</t>
  </si>
  <si>
    <t>Обращения граждан. (более 10 шт.)</t>
  </si>
  <si>
    <t>Письмо администраации сельского округа.</t>
  </si>
  <si>
    <t>Письмо ГСС, обращения граждан (6шт.)</t>
  </si>
  <si>
    <t>Обращения граждан и администраации сельского округа.</t>
  </si>
  <si>
    <t>Предписание ОГИБДД, обращение граждан</t>
  </si>
  <si>
    <t>Предписание ОГИБДД, письмо администрации района</t>
  </si>
  <si>
    <t>Обращения граждан (6 шт.), поругение Главы города Сочи. Также по данной автомобильной дороге осуществляются регулярные пассажирские перевозки маршрутами: №30, (ул. Дагомысская  (ост. 4-я гор. больница) – ул. Полтавская) и №119 (ул. Навагинская (ост. ж/д вокзал Сочи) - село Васильевка). Данная автомобильная дорога является подъездной к санаторию "Ставрополье" и санаторию "Октябрьский", ГКОУ школа-интернат № 2, а также к филиалу Российского Государственного Социального Университета</t>
  </si>
  <si>
    <t>Обращение граждан. По данной автомобильной дороге осуществляются регулярные пассажирские перевозки маршрутам: №15 (мор.вокзал Сочи - ул. Альпийская  (Видовая башня) (кольцевой), №24 (мор.вокзал Сочи - мемориал - ул. Альпийская (ост. ул. Докучаева)</t>
  </si>
  <si>
    <t>Письмо управления социальной политики.</t>
  </si>
  <si>
    <t>Обращения граждан (2 шт.). Письмо администрации сельского округа.</t>
  </si>
  <si>
    <t>Обращение граждан, письма администацрии района и прокуратуры.</t>
  </si>
  <si>
    <t>Обращение граждан (9 шт)</t>
  </si>
  <si>
    <t>В администрация города Сочи поступили обращения граждан в колличестве (2)</t>
  </si>
  <si>
    <t xml:space="preserve">В адрес администрации города Сочи поступили обращения граждан за 2016-2018 годы в колличестве (6), предписаний ОГИБДД в колличестве (3), представлении ОГИБДД в колличестве (3) </t>
  </si>
  <si>
    <t>Обращение граждан (3 шт)</t>
  </si>
  <si>
    <t>Письмо администрации района.</t>
  </si>
  <si>
    <t>Обращение граждан, письмо администацрии сельского округа</t>
  </si>
  <si>
    <t xml:space="preserve">Обращения граждан, письма администацрии сельского округа. Также по данной автомобильной дороге осуществляются регулярные пассажирские перевозки маршрут №63 (ПГТ Красная Поляна  (ост. Вертодром) - б/о Красная Поляна - ж/д вокзал Эсто-Садок - ж/д вокзал Роза Хутор). </t>
  </si>
  <si>
    <t>Приложение №1 к докладу</t>
  </si>
  <si>
    <t>Перечень автомобильных дорог местного значения, расположенных в Центральном районе города Сочи, и целевые показатели по Сочинской городской агломерации</t>
  </si>
  <si>
    <t>Приложение №2 к докладу</t>
  </si>
  <si>
    <t>Перечень автомобильных дорог местного значения, расположенных в Хостинском районе города Сочи, и целевые показатели по Сочинской городской агломерации</t>
  </si>
  <si>
    <t>Приложение №3 к докладу</t>
  </si>
  <si>
    <t>Перечень автомобильных дорог местного значения, расположенных в Адлерском районе города Сочи, и целевые показатели по Сочинской городской агломерации</t>
  </si>
  <si>
    <t>Приложение №4 к докладу</t>
  </si>
  <si>
    <t>Перечень автомобильных дорог местного значения, расположенных в Лазаревском районе города Сочи, и целевые показатели по Сочинской городской агломерации</t>
  </si>
  <si>
    <t>Исполнитель: Начальник сметно-производственного отдела МКУ города Сочи "УАД" Прокичпук Яна Юрьевна тел. 8-918-403-33-84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</si>
</sst>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0"/>
    <numFmt numFmtId="165" formatCode="#,##0.0"/>
    <numFmt numFmtId="166" formatCode="#,##0.00000"/>
  </numFmts>
  <fonts count="11" x14ac:knownFonts="1">
    <font>
      <sz val="11"/>
      <color theme="1"/>
      <name val="Calibri"/>
      <family val="2"/>
      <scheme val="minor"/>
    </font>
    <font>
      <b/>
      <sz val="12"/>
      <color theme="1"/>
      <name val="Times New Roman"/>
      <family val="1"/>
      <charset val="204"/>
    </font>
    <font>
      <sz val="12"/>
      <color theme="1"/>
      <name val="Times New Roman"/>
      <family val="1"/>
      <charset val="204"/>
    </font>
    <font>
      <sz val="10"/>
      <name val="Arial"/>
      <family val="2"/>
      <charset val="204"/>
    </font>
    <font>
      <sz val="10"/>
      <name val="Arial"/>
      <family val="2"/>
    </font>
    <font>
      <sz val="11"/>
      <color theme="1"/>
      <name val="Calibri"/>
      <family val="2"/>
      <scheme val="minor"/>
    </font>
    <font>
      <sz val="18"/>
      <color theme="1"/>
      <name val="Calibri"/>
      <family val="2"/>
      <scheme val="minor"/>
    </font>
    <font>
      <sz val="18"/>
      <color rgb="FFFF0000"/>
      <name val="Calibri"/>
      <family val="2"/>
      <charset val="204"/>
      <scheme val="minor"/>
    </font>
    <font>
      <sz val="12"/>
      <name val="Times New Roman"/>
      <family val="1"/>
      <charset val="204"/>
    </font>
    <font>
      <sz val="12"/>
      <color rgb="FFFF0000"/>
      <name val="Times New Roman"/>
      <family val="1"/>
      <charset val="204"/>
    </font>
    <font>
      <b/>
      <sz val="14"/>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3" fillId="0" borderId="0"/>
    <xf numFmtId="0" fontId="3" fillId="0" borderId="0"/>
    <xf numFmtId="0" fontId="4" fillId="0" borderId="0"/>
    <xf numFmtId="43" fontId="5" fillId="0" borderId="0" applyFont="0" applyFill="0" applyBorder="0" applyAlignment="0" applyProtection="0"/>
  </cellStyleXfs>
  <cellXfs count="48">
    <xf numFmtId="0" fontId="0" fillId="0" borderId="0" xfId="0"/>
    <xf numFmtId="0" fontId="2" fillId="0" borderId="3" xfId="0" applyFont="1" applyBorder="1" applyAlignment="1">
      <alignment horizontal="center" vertical="center"/>
    </xf>
    <xf numFmtId="4" fontId="2" fillId="0" borderId="3" xfId="0" applyNumberFormat="1" applyFont="1" applyBorder="1" applyAlignment="1">
      <alignment horizontal="center" vertical="center"/>
    </xf>
    <xf numFmtId="3" fontId="2" fillId="0" borderId="3" xfId="0" applyNumberFormat="1" applyFont="1" applyBorder="1" applyAlignment="1">
      <alignment horizontal="center" vertical="center"/>
    </xf>
    <xf numFmtId="165" fontId="2" fillId="0" borderId="3" xfId="0" applyNumberFormat="1" applyFont="1" applyBorder="1" applyAlignment="1">
      <alignment horizontal="center" vertical="center"/>
    </xf>
    <xf numFmtId="0" fontId="2" fillId="0" borderId="3" xfId="0" applyFont="1" applyBorder="1" applyAlignment="1">
      <alignment vertical="top" wrapText="1"/>
    </xf>
    <xf numFmtId="0" fontId="1" fillId="0" borderId="3" xfId="0" applyFont="1" applyBorder="1" applyAlignment="1">
      <alignment horizontal="center" vertical="center"/>
    </xf>
    <xf numFmtId="4" fontId="1" fillId="0" borderId="3"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0" fontId="0" fillId="0" borderId="0" xfId="0" applyFill="1"/>
    <xf numFmtId="0" fontId="2" fillId="0" borderId="3" xfId="0" applyFont="1" applyBorder="1" applyAlignment="1">
      <alignment horizontal="right" vertical="top" wrapText="1"/>
    </xf>
    <xf numFmtId="0" fontId="2" fillId="0" borderId="5" xfId="0" applyFont="1" applyBorder="1" applyAlignment="1">
      <alignment horizontal="center" vertical="center"/>
    </xf>
    <xf numFmtId="3" fontId="1" fillId="0" borderId="3"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1" fillId="0" borderId="3" xfId="0" applyNumberFormat="1" applyFont="1" applyFill="1" applyBorder="1" applyAlignment="1">
      <alignment horizontal="center" vertical="center"/>
    </xf>
    <xf numFmtId="0" fontId="2" fillId="0" borderId="3" xfId="0" applyFont="1" applyFill="1" applyBorder="1" applyAlignment="1">
      <alignment vertical="top" wrapText="1"/>
    </xf>
    <xf numFmtId="164" fontId="2" fillId="0" borderId="5" xfId="0" applyNumberFormat="1" applyFont="1" applyBorder="1" applyAlignment="1">
      <alignment horizontal="center" vertical="center"/>
    </xf>
    <xf numFmtId="4" fontId="1" fillId="0" borderId="3" xfId="0" applyNumberFormat="1" applyFont="1" applyBorder="1" applyAlignment="1">
      <alignment horizontal="center" vertical="center"/>
    </xf>
    <xf numFmtId="164" fontId="0" fillId="0" borderId="0" xfId="0" applyNumberFormat="1"/>
    <xf numFmtId="166" fontId="1" fillId="0" borderId="3" xfId="0" applyNumberFormat="1" applyFont="1" applyFill="1" applyBorder="1" applyAlignment="1">
      <alignment horizontal="center" vertical="center"/>
    </xf>
    <xf numFmtId="0" fontId="6" fillId="0" borderId="0" xfId="0" applyFont="1" applyAlignment="1">
      <alignment wrapText="1"/>
    </xf>
    <xf numFmtId="164"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66" fontId="2" fillId="0" borderId="3" xfId="0" applyNumberFormat="1" applyFont="1" applyFill="1" applyBorder="1" applyAlignment="1">
      <alignment horizontal="center" vertical="center"/>
    </xf>
    <xf numFmtId="0" fontId="2" fillId="0" borderId="3" xfId="0" applyFont="1" applyFill="1" applyBorder="1" applyAlignment="1">
      <alignment wrapText="1"/>
    </xf>
    <xf numFmtId="0" fontId="2" fillId="0" borderId="3" xfId="0" applyFont="1" applyFill="1" applyBorder="1" applyAlignment="1">
      <alignment vertical="top"/>
    </xf>
    <xf numFmtId="43" fontId="2" fillId="0" borderId="3" xfId="4" applyFont="1" applyFill="1" applyBorder="1"/>
    <xf numFmtId="164" fontId="2" fillId="0" borderId="3" xfId="0" applyNumberFormat="1" applyFont="1" applyFill="1" applyBorder="1" applyAlignment="1">
      <alignment horizontal="left" vertical="center" wrapText="1"/>
    </xf>
    <xf numFmtId="4" fontId="2" fillId="0" borderId="3" xfId="0" applyNumberFormat="1" applyFont="1" applyFill="1" applyBorder="1" applyAlignment="1">
      <alignment horizontal="left" vertical="center" wrapText="1"/>
    </xf>
    <xf numFmtId="3" fontId="2" fillId="0" borderId="3"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2" fillId="0" borderId="3" xfId="0" applyFont="1" applyFill="1" applyBorder="1" applyAlignment="1">
      <alignment vertical="center"/>
    </xf>
    <xf numFmtId="43" fontId="2" fillId="0" borderId="0" xfId="4" applyFont="1" applyFill="1" applyBorder="1"/>
    <xf numFmtId="2" fontId="2" fillId="0" borderId="3" xfId="0" applyNumberFormat="1" applyFont="1" applyBorder="1" applyAlignment="1">
      <alignment horizontal="center" vertical="center"/>
    </xf>
    <xf numFmtId="0" fontId="9" fillId="0" borderId="3" xfId="0" applyFont="1" applyFill="1" applyBorder="1" applyAlignment="1">
      <alignment vertical="top" wrapText="1"/>
    </xf>
    <xf numFmtId="4" fontId="1" fillId="0" borderId="3" xfId="0" applyNumberFormat="1" applyFont="1" applyFill="1" applyBorder="1" applyAlignment="1">
      <alignment horizontal="center" vertical="center" wrapText="1"/>
    </xf>
    <xf numFmtId="0" fontId="8" fillId="0" borderId="3" xfId="0" applyFont="1" applyFill="1" applyBorder="1" applyAlignment="1">
      <alignment vertical="top" wrapText="1"/>
    </xf>
    <xf numFmtId="0" fontId="2" fillId="0" borderId="0" xfId="0" applyFont="1"/>
    <xf numFmtId="0" fontId="2" fillId="0" borderId="0" xfId="0" applyFont="1" applyAlignment="1">
      <alignment horizontal="right"/>
    </xf>
    <xf numFmtId="0" fontId="1" fillId="0" borderId="3" xfId="0" applyFont="1" applyFill="1" applyBorder="1" applyAlignment="1">
      <alignment horizontal="center" vertical="center"/>
    </xf>
    <xf numFmtId="4" fontId="1" fillId="0" borderId="1"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right" vertical="top" wrapText="1"/>
    </xf>
  </cellXfs>
  <cellStyles count="5">
    <cellStyle name="Обычный" xfId="0" builtinId="0"/>
    <cellStyle name="Обычный 2" xfId="3"/>
    <cellStyle name="Обычный 4 2" xfId="2"/>
    <cellStyle name="Обычный 5" xfId="1"/>
    <cellStyle name="Финансовый" xfId="4"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5"/>
  <sheetViews>
    <sheetView zoomScale="60" zoomScaleNormal="60" workbookViewId="0">
      <pane ySplit="3" topLeftCell="A4" activePane="bottomLeft" state="frozen"/>
      <selection pane="bottomLeft" activeCell="C15" sqref="C15"/>
    </sheetView>
  </sheetViews>
  <sheetFormatPr defaultRowHeight="15.75" x14ac:dyDescent="0.25"/>
  <cols>
    <col min="1" max="1" width="5.5703125" style="9" customWidth="1"/>
    <col min="2" max="2" width="100.5703125" style="9" customWidth="1"/>
    <col min="3" max="3" width="12.7109375" style="9" customWidth="1"/>
    <col min="4" max="4" width="16.5703125" style="9" customWidth="1"/>
    <col min="5" max="5" width="20.85546875" style="9" customWidth="1"/>
    <col min="6" max="7" width="18.42578125" style="9" hidden="1" customWidth="1"/>
    <col min="8" max="8" width="19.140625" style="9" hidden="1" customWidth="1"/>
    <col min="9" max="9" width="15" style="9" customWidth="1"/>
    <col min="10" max="10" width="19.28515625" style="9" hidden="1" customWidth="1"/>
    <col min="11" max="11" width="76.42578125" style="9" customWidth="1"/>
    <col min="12" max="12" width="20.85546875" style="9" customWidth="1"/>
    <col min="13" max="13" width="11.7109375" style="9" customWidth="1"/>
    <col min="14" max="14" width="17.28515625" style="9" customWidth="1"/>
    <col min="15" max="15" width="11.7109375" style="9" customWidth="1"/>
    <col min="16" max="16" width="17.28515625" style="9" customWidth="1"/>
    <col min="17" max="17" width="9.85546875" style="9" customWidth="1"/>
    <col min="18" max="18" width="17.28515625" style="9" customWidth="1"/>
    <col min="19" max="19" width="11.5703125" style="9" customWidth="1"/>
    <col min="20" max="20" width="15.140625" style="9" customWidth="1"/>
    <col min="21" max="21" width="10.5703125" style="9" customWidth="1"/>
    <col min="22" max="22" width="15.140625" style="9" customWidth="1"/>
    <col min="23" max="23" width="11.28515625" style="9" customWidth="1"/>
    <col min="24" max="24" width="14.140625" style="9" customWidth="1"/>
    <col min="25" max="25" width="9.140625" style="9" customWidth="1"/>
    <col min="26" max="26" width="14.140625" style="9" customWidth="1"/>
    <col min="27" max="27" width="9.140625" style="9" customWidth="1"/>
    <col min="28" max="28" width="32.42578125" style="32" customWidth="1"/>
    <col min="29" max="29" width="19.42578125" style="9" customWidth="1"/>
    <col min="30" max="30" width="9.140625" style="9"/>
    <col min="31" max="31" width="23" style="9" customWidth="1"/>
    <col min="32" max="16384" width="9.140625" style="9"/>
  </cols>
  <sheetData>
    <row r="1" spans="1:28" ht="15.75" customHeight="1" x14ac:dyDescent="0.25">
      <c r="A1" s="40" t="s">
        <v>9</v>
      </c>
      <c r="B1" s="43" t="s">
        <v>0</v>
      </c>
      <c r="C1" s="43" t="s">
        <v>1</v>
      </c>
      <c r="D1" s="43" t="s">
        <v>2</v>
      </c>
      <c r="E1" s="44" t="s">
        <v>3</v>
      </c>
      <c r="F1" s="44"/>
      <c r="G1" s="44"/>
      <c r="H1" s="44"/>
      <c r="I1" s="43" t="s">
        <v>4</v>
      </c>
      <c r="J1" s="35"/>
      <c r="K1" s="43" t="s">
        <v>5</v>
      </c>
      <c r="L1" s="43" t="s">
        <v>7</v>
      </c>
      <c r="M1" s="39" t="s">
        <v>10</v>
      </c>
      <c r="N1" s="39"/>
      <c r="O1" s="39"/>
      <c r="P1" s="39"/>
      <c r="Q1" s="39"/>
      <c r="R1" s="39"/>
      <c r="S1" s="39" t="s">
        <v>18</v>
      </c>
      <c r="T1" s="39"/>
      <c r="U1" s="39"/>
      <c r="V1" s="39"/>
      <c r="W1" s="39"/>
      <c r="X1" s="39"/>
      <c r="Y1" s="39"/>
      <c r="Z1" s="39"/>
      <c r="AB1" s="26"/>
    </row>
    <row r="2" spans="1:28" ht="15" customHeight="1" x14ac:dyDescent="0.25">
      <c r="A2" s="41"/>
      <c r="B2" s="43"/>
      <c r="C2" s="43"/>
      <c r="D2" s="43"/>
      <c r="E2" s="44" t="s">
        <v>6</v>
      </c>
      <c r="F2" s="44" t="s">
        <v>31</v>
      </c>
      <c r="G2" s="44" t="s">
        <v>30</v>
      </c>
      <c r="H2" s="44" t="s">
        <v>25</v>
      </c>
      <c r="I2" s="43"/>
      <c r="J2" s="35"/>
      <c r="K2" s="43"/>
      <c r="L2" s="43"/>
      <c r="M2" s="39" t="s">
        <v>17</v>
      </c>
      <c r="N2" s="39"/>
      <c r="O2" s="39" t="s">
        <v>11</v>
      </c>
      <c r="P2" s="39"/>
      <c r="Q2" s="39" t="s">
        <v>12</v>
      </c>
      <c r="R2" s="39"/>
      <c r="S2" s="39" t="s">
        <v>22</v>
      </c>
      <c r="T2" s="39"/>
      <c r="U2" s="39" t="s">
        <v>19</v>
      </c>
      <c r="V2" s="39"/>
      <c r="W2" s="39" t="s">
        <v>20</v>
      </c>
      <c r="X2" s="39"/>
      <c r="Y2" s="39" t="s">
        <v>21</v>
      </c>
      <c r="Z2" s="39"/>
      <c r="AB2" s="26"/>
    </row>
    <row r="3" spans="1:28" x14ac:dyDescent="0.25">
      <c r="A3" s="42"/>
      <c r="B3" s="43"/>
      <c r="C3" s="43"/>
      <c r="D3" s="43"/>
      <c r="E3" s="44"/>
      <c r="F3" s="44"/>
      <c r="G3" s="44"/>
      <c r="H3" s="44"/>
      <c r="I3" s="43"/>
      <c r="J3" s="35"/>
      <c r="K3" s="43"/>
      <c r="L3" s="43"/>
      <c r="M3" s="30" t="s">
        <v>14</v>
      </c>
      <c r="N3" s="30" t="s">
        <v>15</v>
      </c>
      <c r="O3" s="30" t="s">
        <v>13</v>
      </c>
      <c r="P3" s="30" t="s">
        <v>15</v>
      </c>
      <c r="Q3" s="30" t="s">
        <v>13</v>
      </c>
      <c r="R3" s="30" t="s">
        <v>15</v>
      </c>
      <c r="S3" s="30" t="s">
        <v>13</v>
      </c>
      <c r="T3" s="30" t="s">
        <v>15</v>
      </c>
      <c r="U3" s="30" t="s">
        <v>13</v>
      </c>
      <c r="V3" s="30" t="s">
        <v>15</v>
      </c>
      <c r="W3" s="30" t="s">
        <v>13</v>
      </c>
      <c r="X3" s="30" t="s">
        <v>15</v>
      </c>
      <c r="Y3" s="30" t="s">
        <v>13</v>
      </c>
      <c r="Z3" s="30" t="s">
        <v>15</v>
      </c>
      <c r="AB3" s="26"/>
    </row>
    <row r="4" spans="1:28" ht="37.5" customHeight="1" x14ac:dyDescent="0.25">
      <c r="A4" s="25">
        <v>1</v>
      </c>
      <c r="B4" s="15" t="s">
        <v>62</v>
      </c>
      <c r="C4" s="21">
        <v>0.48</v>
      </c>
      <c r="D4" s="22">
        <v>1536</v>
      </c>
      <c r="E4" s="7">
        <v>2778373</v>
      </c>
      <c r="F4" s="8">
        <f>E4*0.75</f>
        <v>2083779.75</v>
      </c>
      <c r="G4" s="8">
        <f t="shared" ref="G4:G37" si="0">E4*0.15</f>
        <v>416755.95</v>
      </c>
      <c r="H4" s="8">
        <f>E4*0.05</f>
        <v>138918.65</v>
      </c>
      <c r="I4" s="22" t="s">
        <v>8</v>
      </c>
      <c r="J4" s="8">
        <f>E4</f>
        <v>2778373</v>
      </c>
      <c r="K4" s="36" t="s">
        <v>121</v>
      </c>
      <c r="L4" s="8">
        <v>2635278</v>
      </c>
      <c r="M4" s="22">
        <v>75.44</v>
      </c>
      <c r="N4" s="29">
        <f>484.12*M4*1.2*1.0543</f>
        <v>46206.189714047992</v>
      </c>
      <c r="O4" s="22">
        <v>0</v>
      </c>
      <c r="P4" s="22">
        <v>0</v>
      </c>
      <c r="Q4" s="22">
        <v>0</v>
      </c>
      <c r="R4" s="22">
        <v>0</v>
      </c>
      <c r="S4" s="22">
        <v>0</v>
      </c>
      <c r="T4" s="29">
        <f t="shared" ref="T4:T11" si="1">2186.55*1.2*1.0586*S4</f>
        <v>0</v>
      </c>
      <c r="U4" s="22">
        <v>60.68</v>
      </c>
      <c r="V4" s="29">
        <f t="shared" ref="V4:V48" si="2">2185.47*1.2*1.0543*U4</f>
        <v>167778.332585136</v>
      </c>
      <c r="W4" s="22">
        <v>0</v>
      </c>
      <c r="X4" s="29">
        <f>2186.55*1.2*1.0543*W4</f>
        <v>0</v>
      </c>
      <c r="Y4" s="22">
        <v>0</v>
      </c>
      <c r="Z4" s="29">
        <f>2185.47*1.2*1.0543*Y4</f>
        <v>0</v>
      </c>
      <c r="AB4" s="26"/>
    </row>
    <row r="5" spans="1:28" ht="37.5" customHeight="1" x14ac:dyDescent="0.25">
      <c r="A5" s="25">
        <v>2</v>
      </c>
      <c r="B5" s="15" t="s">
        <v>63</v>
      </c>
      <c r="C5" s="21">
        <v>0.26</v>
      </c>
      <c r="D5" s="22">
        <v>780</v>
      </c>
      <c r="E5" s="7">
        <v>1387086</v>
      </c>
      <c r="F5" s="8">
        <f t="shared" ref="F5:F6" si="3">E5*0.75</f>
        <v>1040314.5</v>
      </c>
      <c r="G5" s="8">
        <f t="shared" si="0"/>
        <v>208062.9</v>
      </c>
      <c r="H5" s="8">
        <f t="shared" ref="H5:H15" si="4">E5*0.05</f>
        <v>69354.3</v>
      </c>
      <c r="I5" s="22" t="s">
        <v>8</v>
      </c>
      <c r="J5" s="8">
        <f t="shared" ref="J5:J65" si="5">E5</f>
        <v>1387086</v>
      </c>
      <c r="K5" s="34" t="s">
        <v>112</v>
      </c>
      <c r="L5" s="8">
        <v>1315646</v>
      </c>
      <c r="M5" s="22">
        <v>0</v>
      </c>
      <c r="N5" s="22">
        <v>0</v>
      </c>
      <c r="O5" s="22">
        <v>0</v>
      </c>
      <c r="P5" s="22">
        <v>0</v>
      </c>
      <c r="Q5" s="22">
        <v>0</v>
      </c>
      <c r="R5" s="22">
        <v>0</v>
      </c>
      <c r="S5" s="22">
        <v>0</v>
      </c>
      <c r="T5" s="29">
        <f t="shared" si="1"/>
        <v>0</v>
      </c>
      <c r="U5" s="22">
        <v>29.25</v>
      </c>
      <c r="V5" s="29">
        <f t="shared" si="2"/>
        <v>80875.349837100002</v>
      </c>
      <c r="W5" s="22">
        <v>0</v>
      </c>
      <c r="X5" s="29">
        <f t="shared" ref="X5:X19" si="6">2185.47*1.2*1.0543*W5</f>
        <v>0</v>
      </c>
      <c r="Y5" s="22">
        <v>0</v>
      </c>
      <c r="Z5" s="29">
        <f t="shared" ref="Z5:Z48" si="7">2185.47*1.2*1.0543*Y5</f>
        <v>0</v>
      </c>
      <c r="AB5" s="26"/>
    </row>
    <row r="6" spans="1:28" ht="102.75" customHeight="1" x14ac:dyDescent="0.25">
      <c r="A6" s="25">
        <v>3</v>
      </c>
      <c r="B6" s="15" t="s">
        <v>64</v>
      </c>
      <c r="C6" s="21">
        <v>0.9</v>
      </c>
      <c r="D6" s="22">
        <v>3330</v>
      </c>
      <c r="E6" s="7">
        <v>5327518</v>
      </c>
      <c r="F6" s="8">
        <f t="shared" si="3"/>
        <v>3995638.5</v>
      </c>
      <c r="G6" s="8">
        <f t="shared" si="0"/>
        <v>799127.7</v>
      </c>
      <c r="H6" s="8">
        <f t="shared" si="4"/>
        <v>266375.90000000002</v>
      </c>
      <c r="I6" s="22" t="s">
        <v>8</v>
      </c>
      <c r="J6" s="8">
        <f t="shared" si="5"/>
        <v>5327518</v>
      </c>
      <c r="K6" s="15" t="s">
        <v>119</v>
      </c>
      <c r="L6" s="8">
        <v>5053134</v>
      </c>
      <c r="M6" s="22">
        <v>147.1</v>
      </c>
      <c r="N6" s="29">
        <f>1021.36*M6*1.2*1.0543</f>
        <v>190080.23956895998</v>
      </c>
      <c r="O6" s="22">
        <v>0</v>
      </c>
      <c r="P6" s="22">
        <v>0</v>
      </c>
      <c r="Q6" s="22">
        <v>0</v>
      </c>
      <c r="R6" s="22">
        <v>0</v>
      </c>
      <c r="S6" s="22">
        <v>0</v>
      </c>
      <c r="T6" s="29">
        <f t="shared" si="1"/>
        <v>0</v>
      </c>
      <c r="U6" s="22">
        <v>130.88999999999999</v>
      </c>
      <c r="V6" s="29">
        <f t="shared" si="2"/>
        <v>361906.82188642793</v>
      </c>
      <c r="W6" s="22">
        <v>0</v>
      </c>
      <c r="X6" s="29">
        <f t="shared" si="6"/>
        <v>0</v>
      </c>
      <c r="Y6" s="22">
        <v>0</v>
      </c>
      <c r="Z6" s="29">
        <f t="shared" si="7"/>
        <v>0</v>
      </c>
      <c r="AB6" s="26"/>
    </row>
    <row r="7" spans="1:28" ht="36.75" customHeight="1" x14ac:dyDescent="0.25">
      <c r="A7" s="25">
        <v>4</v>
      </c>
      <c r="B7" s="15" t="s">
        <v>65</v>
      </c>
      <c r="C7" s="21">
        <v>0.56399999999999995</v>
      </c>
      <c r="D7" s="22">
        <v>2368.8000000000002</v>
      </c>
      <c r="E7" s="7">
        <v>3779804</v>
      </c>
      <c r="F7" s="8">
        <f t="shared" ref="F7:F51" si="8">E7*0.8</f>
        <v>3023843.2</v>
      </c>
      <c r="G7" s="8">
        <f t="shared" si="0"/>
        <v>566970.6</v>
      </c>
      <c r="H7" s="8">
        <f t="shared" si="4"/>
        <v>188990.2</v>
      </c>
      <c r="I7" s="22" t="s">
        <v>8</v>
      </c>
      <c r="J7" s="8">
        <f t="shared" si="5"/>
        <v>3779804</v>
      </c>
      <c r="K7" s="15" t="s">
        <v>115</v>
      </c>
      <c r="L7" s="8">
        <v>3585131</v>
      </c>
      <c r="M7" s="22">
        <v>258.38</v>
      </c>
      <c r="N7" s="29">
        <f>997.57*M7*1.2*1.0543</f>
        <v>326097.69314085599</v>
      </c>
      <c r="O7" s="22">
        <v>0</v>
      </c>
      <c r="P7" s="22">
        <v>0</v>
      </c>
      <c r="Q7" s="22">
        <v>0</v>
      </c>
      <c r="R7" s="22">
        <v>0</v>
      </c>
      <c r="S7" s="22">
        <v>0</v>
      </c>
      <c r="T7" s="29">
        <f t="shared" si="1"/>
        <v>0</v>
      </c>
      <c r="U7" s="22">
        <v>99.379000000000005</v>
      </c>
      <c r="V7" s="29">
        <f t="shared" si="2"/>
        <v>274779.87663115084</v>
      </c>
      <c r="W7" s="22">
        <v>0</v>
      </c>
      <c r="X7" s="29">
        <f t="shared" si="6"/>
        <v>0</v>
      </c>
      <c r="Y7" s="22">
        <v>0</v>
      </c>
      <c r="Z7" s="29">
        <f t="shared" si="7"/>
        <v>0</v>
      </c>
      <c r="AB7" s="26"/>
    </row>
    <row r="8" spans="1:28" ht="31.5" x14ac:dyDescent="0.25">
      <c r="A8" s="25">
        <v>5</v>
      </c>
      <c r="B8" s="15" t="s">
        <v>66</v>
      </c>
      <c r="C8" s="21">
        <v>3.55</v>
      </c>
      <c r="D8" s="22">
        <v>13490</v>
      </c>
      <c r="E8" s="7">
        <v>22459773</v>
      </c>
      <c r="F8" s="8">
        <f t="shared" si="8"/>
        <v>17967818.400000002</v>
      </c>
      <c r="G8" s="8">
        <f t="shared" si="0"/>
        <v>3368965.9499999997</v>
      </c>
      <c r="H8" s="8">
        <f t="shared" si="4"/>
        <v>1122988.6500000001</v>
      </c>
      <c r="I8" s="22" t="s">
        <v>8</v>
      </c>
      <c r="J8" s="8">
        <f t="shared" si="5"/>
        <v>22459773</v>
      </c>
      <c r="K8" s="15" t="s">
        <v>118</v>
      </c>
      <c r="L8" s="8">
        <v>21303020</v>
      </c>
      <c r="M8" s="22">
        <v>1024.08</v>
      </c>
      <c r="N8" s="29">
        <f>833.41*M8*1.2*1.0543</f>
        <v>1079786.8752540478</v>
      </c>
      <c r="O8" s="22">
        <v>0</v>
      </c>
      <c r="P8" s="22">
        <v>0</v>
      </c>
      <c r="Q8" s="22">
        <v>0</v>
      </c>
      <c r="R8" s="22">
        <v>0</v>
      </c>
      <c r="S8" s="22">
        <v>0</v>
      </c>
      <c r="T8" s="29">
        <f t="shared" si="1"/>
        <v>0</v>
      </c>
      <c r="U8" s="22">
        <v>547.70000000000005</v>
      </c>
      <c r="V8" s="29">
        <f t="shared" si="2"/>
        <v>1514373.6446420401</v>
      </c>
      <c r="W8" s="22">
        <v>0</v>
      </c>
      <c r="X8" s="29">
        <f t="shared" si="6"/>
        <v>0</v>
      </c>
      <c r="Y8" s="22">
        <v>0</v>
      </c>
      <c r="Z8" s="29">
        <f t="shared" si="7"/>
        <v>0</v>
      </c>
      <c r="AB8" s="26"/>
    </row>
    <row r="9" spans="1:28" ht="35.25" customHeight="1" x14ac:dyDescent="0.25">
      <c r="A9" s="25">
        <v>6</v>
      </c>
      <c r="B9" s="15" t="s">
        <v>67</v>
      </c>
      <c r="C9" s="21">
        <v>0.4</v>
      </c>
      <c r="D9" s="22">
        <v>2000</v>
      </c>
      <c r="E9" s="7">
        <v>2728026</v>
      </c>
      <c r="F9" s="8">
        <f t="shared" si="8"/>
        <v>2182420.8000000003</v>
      </c>
      <c r="G9" s="8">
        <f t="shared" si="0"/>
        <v>409203.89999999997</v>
      </c>
      <c r="H9" s="8">
        <f t="shared" si="4"/>
        <v>136401.30000000002</v>
      </c>
      <c r="I9" s="22" t="s">
        <v>8</v>
      </c>
      <c r="J9" s="8">
        <f t="shared" si="5"/>
        <v>2728026</v>
      </c>
      <c r="K9" s="15" t="s">
        <v>115</v>
      </c>
      <c r="L9" s="8">
        <v>2587523</v>
      </c>
      <c r="M9" s="22">
        <v>0</v>
      </c>
      <c r="N9" s="22">
        <v>0</v>
      </c>
      <c r="O9" s="22">
        <v>0</v>
      </c>
      <c r="P9" s="22">
        <v>0</v>
      </c>
      <c r="Q9" s="22">
        <v>0</v>
      </c>
      <c r="R9" s="22">
        <v>0</v>
      </c>
      <c r="S9" s="22">
        <v>0</v>
      </c>
      <c r="T9" s="29">
        <f t="shared" si="1"/>
        <v>0</v>
      </c>
      <c r="U9" s="22">
        <v>46.88</v>
      </c>
      <c r="V9" s="29">
        <f>2185.47*1.2*1.0543*U9</f>
        <v>129621.757277376</v>
      </c>
      <c r="W9" s="22">
        <v>0</v>
      </c>
      <c r="X9" s="29">
        <f t="shared" si="6"/>
        <v>0</v>
      </c>
      <c r="Y9" s="22">
        <v>0</v>
      </c>
      <c r="Z9" s="29">
        <f t="shared" si="7"/>
        <v>0</v>
      </c>
      <c r="AB9" s="26"/>
    </row>
    <row r="10" spans="1:28" ht="33.75" customHeight="1" x14ac:dyDescent="0.25">
      <c r="A10" s="25">
        <v>7</v>
      </c>
      <c r="B10" s="15" t="s">
        <v>68</v>
      </c>
      <c r="C10" s="21">
        <v>1.5</v>
      </c>
      <c r="D10" s="22">
        <v>9000</v>
      </c>
      <c r="E10" s="7">
        <v>13973614</v>
      </c>
      <c r="F10" s="8">
        <f t="shared" si="8"/>
        <v>11178891.200000001</v>
      </c>
      <c r="G10" s="8">
        <f t="shared" si="0"/>
        <v>2096042.0999999999</v>
      </c>
      <c r="H10" s="8">
        <f t="shared" si="4"/>
        <v>698680.70000000007</v>
      </c>
      <c r="I10" s="22" t="s">
        <v>8</v>
      </c>
      <c r="J10" s="8">
        <f t="shared" si="5"/>
        <v>13973614</v>
      </c>
      <c r="K10" s="36" t="s">
        <v>134</v>
      </c>
      <c r="L10" s="8">
        <v>13253927</v>
      </c>
      <c r="M10" s="22">
        <v>0</v>
      </c>
      <c r="N10" s="22">
        <v>0</v>
      </c>
      <c r="O10" s="22">
        <v>0</v>
      </c>
      <c r="P10" s="22">
        <v>0</v>
      </c>
      <c r="Q10" s="22">
        <v>0</v>
      </c>
      <c r="R10" s="22">
        <v>0</v>
      </c>
      <c r="S10" s="22">
        <v>0</v>
      </c>
      <c r="T10" s="29">
        <f t="shared" si="1"/>
        <v>0</v>
      </c>
      <c r="U10" s="22">
        <v>300</v>
      </c>
      <c r="V10" s="29">
        <f t="shared" si="2"/>
        <v>829490.76755999995</v>
      </c>
      <c r="W10" s="22">
        <v>0</v>
      </c>
      <c r="X10" s="29">
        <f t="shared" si="6"/>
        <v>0</v>
      </c>
      <c r="Y10" s="22">
        <v>0</v>
      </c>
      <c r="Z10" s="29">
        <f t="shared" si="7"/>
        <v>0</v>
      </c>
      <c r="AB10" s="26"/>
    </row>
    <row r="11" spans="1:28" ht="33.75" customHeight="1" x14ac:dyDescent="0.25">
      <c r="A11" s="25">
        <v>8</v>
      </c>
      <c r="B11" s="15" t="s">
        <v>60</v>
      </c>
      <c r="C11" s="21">
        <v>0.2</v>
      </c>
      <c r="D11" s="22">
        <v>1200</v>
      </c>
      <c r="E11" s="7">
        <v>2137234</v>
      </c>
      <c r="F11" s="8">
        <f t="shared" si="8"/>
        <v>1709787.2000000002</v>
      </c>
      <c r="G11" s="8">
        <f t="shared" si="0"/>
        <v>320585.09999999998</v>
      </c>
      <c r="H11" s="8">
        <f t="shared" si="4"/>
        <v>106861.70000000001</v>
      </c>
      <c r="I11" s="22" t="s">
        <v>8</v>
      </c>
      <c r="J11" s="8">
        <f>E11*1.04</f>
        <v>2222723.36</v>
      </c>
      <c r="K11" s="36" t="s">
        <v>135</v>
      </c>
      <c r="L11" s="8">
        <v>2027159</v>
      </c>
      <c r="M11" s="22">
        <v>0</v>
      </c>
      <c r="N11" s="22">
        <v>0</v>
      </c>
      <c r="O11" s="22">
        <v>0</v>
      </c>
      <c r="P11" s="22">
        <v>0</v>
      </c>
      <c r="Q11" s="22">
        <v>0</v>
      </c>
      <c r="R11" s="22">
        <v>0</v>
      </c>
      <c r="S11" s="22">
        <v>0</v>
      </c>
      <c r="T11" s="29">
        <f t="shared" si="1"/>
        <v>0</v>
      </c>
      <c r="U11" s="22">
        <v>45</v>
      </c>
      <c r="V11" s="29">
        <f t="shared" si="2"/>
        <v>124423.61513399999</v>
      </c>
      <c r="W11" s="22">
        <v>0</v>
      </c>
      <c r="X11" s="29">
        <f t="shared" si="6"/>
        <v>0</v>
      </c>
      <c r="Y11" s="22">
        <v>0</v>
      </c>
      <c r="Z11" s="29">
        <f t="shared" si="7"/>
        <v>0</v>
      </c>
      <c r="AB11" s="26"/>
    </row>
    <row r="12" spans="1:28" ht="119.25" customHeight="1" x14ac:dyDescent="0.25">
      <c r="A12" s="25">
        <v>9</v>
      </c>
      <c r="B12" s="15" t="s">
        <v>69</v>
      </c>
      <c r="C12" s="21">
        <v>2.17</v>
      </c>
      <c r="D12" s="22">
        <v>11718</v>
      </c>
      <c r="E12" s="7">
        <v>17956350</v>
      </c>
      <c r="F12" s="8">
        <f t="shared" si="8"/>
        <v>14365080</v>
      </c>
      <c r="G12" s="8">
        <f t="shared" si="0"/>
        <v>2693452.5</v>
      </c>
      <c r="H12" s="8">
        <f t="shared" si="4"/>
        <v>897817.5</v>
      </c>
      <c r="I12" s="22" t="s">
        <v>8</v>
      </c>
      <c r="J12" s="8">
        <f t="shared" si="5"/>
        <v>17956350</v>
      </c>
      <c r="K12" s="15" t="s">
        <v>116</v>
      </c>
      <c r="L12" s="8">
        <v>17031538</v>
      </c>
      <c r="M12" s="22">
        <v>86.75</v>
      </c>
      <c r="N12" s="29">
        <f>1187.98*M12*1.2*1.0543</f>
        <v>130383.9293874</v>
      </c>
      <c r="O12" s="22">
        <v>0</v>
      </c>
      <c r="P12" s="22">
        <v>0</v>
      </c>
      <c r="Q12" s="22">
        <v>0</v>
      </c>
      <c r="R12" s="22">
        <v>0</v>
      </c>
      <c r="S12" s="22">
        <v>0</v>
      </c>
      <c r="T12" s="29">
        <f t="shared" ref="T12:T15" si="9">2186.55*1.2*1.0543*S12</f>
        <v>0</v>
      </c>
      <c r="U12" s="22">
        <v>443</v>
      </c>
      <c r="V12" s="29">
        <f t="shared" si="2"/>
        <v>1224881.3667635999</v>
      </c>
      <c r="W12" s="22">
        <v>0</v>
      </c>
      <c r="X12" s="29">
        <f t="shared" si="6"/>
        <v>0</v>
      </c>
      <c r="Y12" s="22">
        <v>0</v>
      </c>
      <c r="Z12" s="29">
        <f t="shared" si="7"/>
        <v>0</v>
      </c>
      <c r="AB12" s="26"/>
    </row>
    <row r="13" spans="1:28" ht="54" customHeight="1" x14ac:dyDescent="0.25">
      <c r="A13" s="25">
        <v>10</v>
      </c>
      <c r="B13" s="15" t="s">
        <v>70</v>
      </c>
      <c r="C13" s="21">
        <v>2.9279999999999999</v>
      </c>
      <c r="D13" s="22">
        <v>12883.2</v>
      </c>
      <c r="E13" s="7">
        <v>21397398</v>
      </c>
      <c r="F13" s="8">
        <f t="shared" si="8"/>
        <v>17117918.400000002</v>
      </c>
      <c r="G13" s="8">
        <f t="shared" si="0"/>
        <v>3209609.6999999997</v>
      </c>
      <c r="H13" s="8">
        <f t="shared" si="4"/>
        <v>1069869.9000000001</v>
      </c>
      <c r="I13" s="22" t="s">
        <v>8</v>
      </c>
      <c r="J13" s="8">
        <f t="shared" si="5"/>
        <v>21397398</v>
      </c>
      <c r="K13" s="15" t="s">
        <v>117</v>
      </c>
      <c r="L13" s="8">
        <v>20295360</v>
      </c>
      <c r="M13" s="22">
        <v>878.48</v>
      </c>
      <c r="N13" s="29">
        <f>961.86*M13*1.2*1.0543</f>
        <v>1069028.2835556481</v>
      </c>
      <c r="O13" s="22">
        <v>0</v>
      </c>
      <c r="P13" s="22">
        <v>0</v>
      </c>
      <c r="Q13" s="22">
        <v>0</v>
      </c>
      <c r="R13" s="22">
        <v>0</v>
      </c>
      <c r="S13" s="22">
        <v>0</v>
      </c>
      <c r="T13" s="29">
        <f t="shared" si="9"/>
        <v>0</v>
      </c>
      <c r="U13" s="22">
        <v>519</v>
      </c>
      <c r="V13" s="29">
        <f t="shared" si="2"/>
        <v>1435019.0278787999</v>
      </c>
      <c r="W13" s="22">
        <v>0</v>
      </c>
      <c r="X13" s="29">
        <f t="shared" si="6"/>
        <v>0</v>
      </c>
      <c r="Y13" s="22">
        <v>0</v>
      </c>
      <c r="Z13" s="29">
        <f t="shared" si="7"/>
        <v>0</v>
      </c>
      <c r="AB13" s="26"/>
    </row>
    <row r="14" spans="1:28" ht="37.5" customHeight="1" x14ac:dyDescent="0.25">
      <c r="A14" s="25">
        <v>11</v>
      </c>
      <c r="B14" s="15" t="s">
        <v>61</v>
      </c>
      <c r="C14" s="21">
        <v>1.1200000000000001</v>
      </c>
      <c r="D14" s="22">
        <v>7168</v>
      </c>
      <c r="E14" s="7">
        <v>11159663</v>
      </c>
      <c r="F14" s="8">
        <f t="shared" si="8"/>
        <v>8927730.4000000004</v>
      </c>
      <c r="G14" s="8">
        <f t="shared" si="0"/>
        <v>1673949.45</v>
      </c>
      <c r="H14" s="8">
        <f t="shared" si="4"/>
        <v>557983.15</v>
      </c>
      <c r="I14" s="22" t="s">
        <v>8</v>
      </c>
      <c r="J14" s="8">
        <f>E14*1.04</f>
        <v>11606049.52</v>
      </c>
      <c r="K14" s="15" t="s">
        <v>115</v>
      </c>
      <c r="L14" s="8">
        <v>10584903</v>
      </c>
      <c r="M14" s="22">
        <v>0</v>
      </c>
      <c r="N14" s="22">
        <v>0</v>
      </c>
      <c r="O14" s="22">
        <v>0</v>
      </c>
      <c r="P14" s="22">
        <v>0</v>
      </c>
      <c r="Q14" s="22">
        <v>0</v>
      </c>
      <c r="R14" s="22">
        <v>0</v>
      </c>
      <c r="S14" s="22">
        <v>0</v>
      </c>
      <c r="T14" s="29">
        <f t="shared" si="9"/>
        <v>0</v>
      </c>
      <c r="U14" s="22">
        <v>268.8</v>
      </c>
      <c r="V14" s="29">
        <f t="shared" si="2"/>
        <v>743223.72773376002</v>
      </c>
      <c r="W14" s="22">
        <v>0</v>
      </c>
      <c r="X14" s="29">
        <f t="shared" si="6"/>
        <v>0</v>
      </c>
      <c r="Y14" s="22">
        <v>0</v>
      </c>
      <c r="Z14" s="29">
        <f t="shared" si="7"/>
        <v>0</v>
      </c>
      <c r="AB14" s="26"/>
    </row>
    <row r="15" spans="1:28" ht="103.5" customHeight="1" x14ac:dyDescent="0.25">
      <c r="A15" s="25">
        <v>12</v>
      </c>
      <c r="B15" s="15" t="s">
        <v>74</v>
      </c>
      <c r="C15" s="21">
        <v>3.8</v>
      </c>
      <c r="D15" s="22">
        <v>24700</v>
      </c>
      <c r="E15" s="7">
        <v>29487328</v>
      </c>
      <c r="F15" s="8">
        <f t="shared" si="8"/>
        <v>23589862.400000002</v>
      </c>
      <c r="G15" s="8">
        <f t="shared" si="0"/>
        <v>4423099.2</v>
      </c>
      <c r="H15" s="8">
        <f t="shared" si="4"/>
        <v>1474366.4000000001</v>
      </c>
      <c r="I15" s="22" t="s">
        <v>8</v>
      </c>
      <c r="J15" s="8">
        <f>E15*1.04</f>
        <v>30666821.120000001</v>
      </c>
      <c r="K15" s="15" t="s">
        <v>114</v>
      </c>
      <c r="L15" s="8">
        <v>27968631</v>
      </c>
      <c r="M15" s="22">
        <v>0</v>
      </c>
      <c r="N15" s="22">
        <v>0</v>
      </c>
      <c r="O15" s="22">
        <v>2246.4</v>
      </c>
      <c r="P15" s="29">
        <f>25.58*O15*1.2*1.0543</f>
        <v>72699.777745920001</v>
      </c>
      <c r="Q15" s="22">
        <v>0</v>
      </c>
      <c r="R15" s="22">
        <v>0</v>
      </c>
      <c r="S15" s="22">
        <v>0</v>
      </c>
      <c r="T15" s="29">
        <f t="shared" si="9"/>
        <v>0</v>
      </c>
      <c r="U15" s="22">
        <v>100.1</v>
      </c>
      <c r="V15" s="29">
        <f t="shared" si="2"/>
        <v>276773.41944252001</v>
      </c>
      <c r="W15" s="22">
        <v>0</v>
      </c>
      <c r="X15" s="29">
        <f t="shared" si="6"/>
        <v>0</v>
      </c>
      <c r="Y15" s="22">
        <v>103</v>
      </c>
      <c r="Z15" s="29">
        <f t="shared" si="7"/>
        <v>284791.83019559999</v>
      </c>
      <c r="AB15" s="26"/>
    </row>
    <row r="16" spans="1:28" ht="31.5" x14ac:dyDescent="0.25">
      <c r="A16" s="25">
        <v>13</v>
      </c>
      <c r="B16" s="15" t="s">
        <v>73</v>
      </c>
      <c r="C16" s="21">
        <v>1.8</v>
      </c>
      <c r="D16" s="22">
        <v>13000</v>
      </c>
      <c r="E16" s="7">
        <v>16777183</v>
      </c>
      <c r="F16" s="8">
        <f t="shared" si="8"/>
        <v>13421746.4</v>
      </c>
      <c r="G16" s="8">
        <f t="shared" si="0"/>
        <v>2516577.4499999997</v>
      </c>
      <c r="H16" s="8">
        <f t="shared" ref="H16:H29" si="10">E16*0.05</f>
        <v>838859.15</v>
      </c>
      <c r="I16" s="22" t="s">
        <v>8</v>
      </c>
      <c r="J16" s="8">
        <f>E16*1.04</f>
        <v>17448270.32</v>
      </c>
      <c r="K16" s="15" t="s">
        <v>120</v>
      </c>
      <c r="L16" s="8">
        <v>15913102</v>
      </c>
      <c r="M16" s="22">
        <v>377.19</v>
      </c>
      <c r="N16" s="29">
        <f>626.95*M16*1.2*1.0543</f>
        <v>299184.11386578</v>
      </c>
      <c r="O16" s="22">
        <v>0</v>
      </c>
      <c r="P16" s="22">
        <v>0</v>
      </c>
      <c r="Q16" s="22">
        <v>0</v>
      </c>
      <c r="R16" s="22">
        <v>0</v>
      </c>
      <c r="S16" s="22">
        <v>0</v>
      </c>
      <c r="T16" s="29">
        <f t="shared" ref="T16:T40" si="11">2186.55*1.2*1.0543*S16</f>
        <v>0</v>
      </c>
      <c r="U16" s="22">
        <v>112.5</v>
      </c>
      <c r="V16" s="29">
        <f t="shared" si="2"/>
        <v>311059.03783500002</v>
      </c>
      <c r="W16" s="22">
        <v>0</v>
      </c>
      <c r="X16" s="29">
        <f t="shared" si="6"/>
        <v>0</v>
      </c>
      <c r="Y16" s="22">
        <v>0</v>
      </c>
      <c r="Z16" s="29">
        <f t="shared" si="7"/>
        <v>0</v>
      </c>
      <c r="AB16" s="26"/>
    </row>
    <row r="17" spans="1:28" ht="34.5" customHeight="1" x14ac:dyDescent="0.25">
      <c r="A17" s="25">
        <v>14</v>
      </c>
      <c r="B17" s="15" t="s">
        <v>41</v>
      </c>
      <c r="C17" s="21">
        <v>0.2</v>
      </c>
      <c r="D17" s="22">
        <v>1100</v>
      </c>
      <c r="E17" s="7">
        <v>1604113</v>
      </c>
      <c r="F17" s="8">
        <f t="shared" si="8"/>
        <v>1283290.4000000001</v>
      </c>
      <c r="G17" s="8">
        <f t="shared" si="0"/>
        <v>240616.94999999998</v>
      </c>
      <c r="H17" s="8">
        <f t="shared" si="10"/>
        <v>80205.650000000009</v>
      </c>
      <c r="I17" s="22" t="s">
        <v>8</v>
      </c>
      <c r="J17" s="8">
        <f>E17*1.04</f>
        <v>1668277.52</v>
      </c>
      <c r="K17" s="15"/>
      <c r="L17" s="8">
        <v>1521495</v>
      </c>
      <c r="M17" s="22">
        <v>11.32</v>
      </c>
      <c r="N17" s="29">
        <f>588.09*M17*1.2*1.0543</f>
        <v>8422.3963306080004</v>
      </c>
      <c r="O17" s="22">
        <v>0</v>
      </c>
      <c r="P17" s="22">
        <v>0</v>
      </c>
      <c r="Q17" s="22">
        <v>0</v>
      </c>
      <c r="R17" s="22">
        <v>0</v>
      </c>
      <c r="S17" s="22">
        <v>0</v>
      </c>
      <c r="T17" s="29">
        <f t="shared" si="11"/>
        <v>0</v>
      </c>
      <c r="U17" s="22">
        <v>25.2</v>
      </c>
      <c r="V17" s="29">
        <f t="shared" si="2"/>
        <v>69677.224475039999</v>
      </c>
      <c r="W17" s="22">
        <v>0</v>
      </c>
      <c r="X17" s="29">
        <f t="shared" si="6"/>
        <v>0</v>
      </c>
      <c r="Y17" s="22">
        <v>0</v>
      </c>
      <c r="Z17" s="29">
        <f t="shared" si="7"/>
        <v>0</v>
      </c>
      <c r="AB17" s="26"/>
    </row>
    <row r="18" spans="1:28" ht="36.75" customHeight="1" x14ac:dyDescent="0.25">
      <c r="A18" s="25">
        <v>15</v>
      </c>
      <c r="B18" s="15" t="s">
        <v>45</v>
      </c>
      <c r="C18" s="21">
        <v>0.33800000000000002</v>
      </c>
      <c r="D18" s="22">
        <v>1650</v>
      </c>
      <c r="E18" s="7">
        <v>2192035</v>
      </c>
      <c r="F18" s="8">
        <f t="shared" si="8"/>
        <v>1753628</v>
      </c>
      <c r="G18" s="8">
        <f t="shared" si="0"/>
        <v>328805.25</v>
      </c>
      <c r="H18" s="8">
        <f t="shared" si="10"/>
        <v>109601.75</v>
      </c>
      <c r="I18" s="22" t="s">
        <v>8</v>
      </c>
      <c r="J18" s="8">
        <f t="shared" si="5"/>
        <v>2192035</v>
      </c>
      <c r="K18" s="34" t="s">
        <v>95</v>
      </c>
      <c r="L18" s="8">
        <v>2079138</v>
      </c>
      <c r="M18" s="22">
        <v>41.49</v>
      </c>
      <c r="N18" s="29">
        <f>697.21*M18*1.2*1.0543</f>
        <v>36597.590627363999</v>
      </c>
      <c r="O18" s="22">
        <v>0</v>
      </c>
      <c r="P18" s="22">
        <v>0</v>
      </c>
      <c r="Q18" s="22">
        <v>0</v>
      </c>
      <c r="R18" s="22">
        <v>0</v>
      </c>
      <c r="S18" s="22">
        <v>0</v>
      </c>
      <c r="T18" s="29">
        <f t="shared" si="11"/>
        <v>0</v>
      </c>
      <c r="U18" s="22">
        <v>8.75</v>
      </c>
      <c r="V18" s="29">
        <f t="shared" si="2"/>
        <v>24193.4807205</v>
      </c>
      <c r="W18" s="22">
        <v>0</v>
      </c>
      <c r="X18" s="29">
        <f t="shared" si="6"/>
        <v>0</v>
      </c>
      <c r="Y18" s="22">
        <v>0</v>
      </c>
      <c r="Z18" s="29">
        <f t="shared" si="7"/>
        <v>0</v>
      </c>
      <c r="AB18" s="26"/>
    </row>
    <row r="19" spans="1:28" ht="42.75" customHeight="1" x14ac:dyDescent="0.25">
      <c r="A19" s="25">
        <v>16</v>
      </c>
      <c r="B19" s="15" t="s">
        <v>46</v>
      </c>
      <c r="C19" s="21">
        <v>0.32</v>
      </c>
      <c r="D19" s="22">
        <v>1600</v>
      </c>
      <c r="E19" s="7">
        <v>2587759</v>
      </c>
      <c r="F19" s="8">
        <f t="shared" si="8"/>
        <v>2070207.2000000002</v>
      </c>
      <c r="G19" s="8">
        <f t="shared" si="0"/>
        <v>388163.85</v>
      </c>
      <c r="H19" s="8">
        <f t="shared" si="10"/>
        <v>129387.95000000001</v>
      </c>
      <c r="I19" s="22" t="s">
        <v>8</v>
      </c>
      <c r="J19" s="8">
        <f t="shared" si="5"/>
        <v>2587759</v>
      </c>
      <c r="K19" s="36" t="s">
        <v>136</v>
      </c>
      <c r="L19" s="8">
        <v>2454482</v>
      </c>
      <c r="M19" s="22">
        <v>113.16</v>
      </c>
      <c r="N19" s="29">
        <f>568.67*M19*1.2*1.0543</f>
        <v>81413.928069551999</v>
      </c>
      <c r="O19" s="22">
        <v>0</v>
      </c>
      <c r="P19" s="22">
        <v>0</v>
      </c>
      <c r="Q19" s="22">
        <v>0</v>
      </c>
      <c r="R19" s="22">
        <v>0</v>
      </c>
      <c r="S19" s="22">
        <v>0</v>
      </c>
      <c r="T19" s="29">
        <f t="shared" si="11"/>
        <v>0</v>
      </c>
      <c r="U19" s="22">
        <v>22.5</v>
      </c>
      <c r="V19" s="29">
        <f t="shared" si="2"/>
        <v>62211.807566999996</v>
      </c>
      <c r="W19" s="22">
        <v>0</v>
      </c>
      <c r="X19" s="29">
        <f t="shared" si="6"/>
        <v>0</v>
      </c>
      <c r="Y19" s="22">
        <v>0</v>
      </c>
      <c r="Z19" s="29">
        <f t="shared" si="7"/>
        <v>0</v>
      </c>
      <c r="AB19" s="26"/>
    </row>
    <row r="20" spans="1:28" ht="55.5" customHeight="1" x14ac:dyDescent="0.25">
      <c r="A20" s="25">
        <v>17</v>
      </c>
      <c r="B20" s="15" t="s">
        <v>48</v>
      </c>
      <c r="C20" s="21">
        <v>1.92</v>
      </c>
      <c r="D20" s="22">
        <v>10840</v>
      </c>
      <c r="E20" s="7">
        <v>41511701</v>
      </c>
      <c r="F20" s="8">
        <f t="shared" si="8"/>
        <v>33209360.800000001</v>
      </c>
      <c r="G20" s="8">
        <f t="shared" si="0"/>
        <v>6226755.1499999994</v>
      </c>
      <c r="H20" s="8">
        <f t="shared" si="10"/>
        <v>2075585.05</v>
      </c>
      <c r="I20" s="22" t="s">
        <v>16</v>
      </c>
      <c r="J20" s="8">
        <f t="shared" si="5"/>
        <v>41511701</v>
      </c>
      <c r="K20" s="15" t="s">
        <v>113</v>
      </c>
      <c r="L20" s="8">
        <v>39373708</v>
      </c>
      <c r="M20" s="22">
        <v>33.950000000000003</v>
      </c>
      <c r="N20" s="29">
        <f>607.53*M20*1.2*1.0543</f>
        <v>26094.739130460002</v>
      </c>
      <c r="O20" s="22">
        <v>0</v>
      </c>
      <c r="P20" s="22">
        <v>0</v>
      </c>
      <c r="Q20" s="22">
        <v>5.2518000000000002</v>
      </c>
      <c r="R20" s="29">
        <f>12832.45*Q20*1.2*1.0543</f>
        <v>85263.511004895612</v>
      </c>
      <c r="S20" s="22">
        <f>1248+301.32</f>
        <v>1549.32</v>
      </c>
      <c r="T20" s="29">
        <f t="shared" si="11"/>
        <v>4285939.0686933603</v>
      </c>
      <c r="U20" s="22">
        <v>18.75</v>
      </c>
      <c r="V20" s="29">
        <f t="shared" si="2"/>
        <v>51843.172972499997</v>
      </c>
      <c r="W20" s="22">
        <v>1337.94</v>
      </c>
      <c r="X20" s="29">
        <f>2185.47*1.2*1.0543*W20</f>
        <v>3699362.9251640881</v>
      </c>
      <c r="Y20" s="22">
        <v>0</v>
      </c>
      <c r="Z20" s="29">
        <f t="shared" si="7"/>
        <v>0</v>
      </c>
      <c r="AB20" s="26"/>
    </row>
    <row r="21" spans="1:28" ht="35.25" customHeight="1" x14ac:dyDescent="0.25">
      <c r="A21" s="25">
        <v>18</v>
      </c>
      <c r="B21" s="15" t="s">
        <v>87</v>
      </c>
      <c r="C21" s="21">
        <v>2.04</v>
      </c>
      <c r="D21" s="22">
        <v>12800</v>
      </c>
      <c r="E21" s="7">
        <v>18811908</v>
      </c>
      <c r="F21" s="8">
        <f t="shared" si="8"/>
        <v>15049526.4</v>
      </c>
      <c r="G21" s="8">
        <f t="shared" si="0"/>
        <v>2821786.1999999997</v>
      </c>
      <c r="H21" s="8">
        <f t="shared" si="10"/>
        <v>940595.4</v>
      </c>
      <c r="I21" s="22" t="s">
        <v>8</v>
      </c>
      <c r="J21" s="8">
        <f>E21*1.04</f>
        <v>19564384.32</v>
      </c>
      <c r="K21" s="15" t="s">
        <v>123</v>
      </c>
      <c r="L21" s="8">
        <v>17843032</v>
      </c>
      <c r="M21" s="22">
        <v>22.63</v>
      </c>
      <c r="N21" s="29">
        <f>315.29*M21*1.2*1.0543</f>
        <v>9026.9326675320008</v>
      </c>
      <c r="O21" s="22">
        <v>1198.08</v>
      </c>
      <c r="P21" s="29">
        <f>564.82*O21*1.2*1.0543</f>
        <v>856133.197111296</v>
      </c>
      <c r="Q21" s="22">
        <v>1.4</v>
      </c>
      <c r="R21" s="29">
        <f>14224.54*Q21*1.2*1.0543</f>
        <v>25194.846636959999</v>
      </c>
      <c r="S21" s="22">
        <v>0</v>
      </c>
      <c r="T21" s="29">
        <f t="shared" si="11"/>
        <v>0</v>
      </c>
      <c r="U21" s="22">
        <v>56.16</v>
      </c>
      <c r="V21" s="29">
        <f t="shared" si="2"/>
        <v>155280.67168723198</v>
      </c>
      <c r="W21" s="22">
        <v>0</v>
      </c>
      <c r="X21" s="29">
        <f t="shared" ref="X21:X63" si="12">2185.47*1.2*1.0543*W21</f>
        <v>0</v>
      </c>
      <c r="Y21" s="22">
        <v>61.8</v>
      </c>
      <c r="Z21" s="29">
        <f t="shared" si="7"/>
        <v>170875.09811736</v>
      </c>
      <c r="AB21" s="26"/>
    </row>
    <row r="22" spans="1:28" ht="48.75" customHeight="1" x14ac:dyDescent="0.25">
      <c r="A22" s="25">
        <v>19</v>
      </c>
      <c r="B22" s="15" t="s">
        <v>42</v>
      </c>
      <c r="C22" s="21">
        <v>0.68</v>
      </c>
      <c r="D22" s="22">
        <v>4557</v>
      </c>
      <c r="E22" s="7">
        <v>4977238</v>
      </c>
      <c r="F22" s="8">
        <f t="shared" si="8"/>
        <v>3981790.4000000004</v>
      </c>
      <c r="G22" s="8">
        <f t="shared" si="0"/>
        <v>746585.7</v>
      </c>
      <c r="H22" s="8">
        <f t="shared" si="10"/>
        <v>248861.90000000002</v>
      </c>
      <c r="I22" s="22" t="s">
        <v>8</v>
      </c>
      <c r="J22" s="8">
        <f>E22*1.04</f>
        <v>5176327.5200000005</v>
      </c>
      <c r="K22" s="15" t="s">
        <v>110</v>
      </c>
      <c r="L22" s="8">
        <v>4720893</v>
      </c>
      <c r="M22" s="22">
        <v>11.32</v>
      </c>
      <c r="N22" s="29">
        <f>717.54*M22*1.2*1.0543</f>
        <v>10276.328900447998</v>
      </c>
      <c r="O22" s="22">
        <v>0</v>
      </c>
      <c r="P22" s="22">
        <v>0</v>
      </c>
      <c r="Q22" s="22">
        <v>0</v>
      </c>
      <c r="R22" s="29">
        <f t="shared" ref="R22:R40" si="13">12832.45*Q22*1.2*1.0543</f>
        <v>0</v>
      </c>
      <c r="S22" s="22">
        <v>0</v>
      </c>
      <c r="T22" s="29">
        <f t="shared" si="11"/>
        <v>0</v>
      </c>
      <c r="U22" s="22">
        <v>18.75</v>
      </c>
      <c r="V22" s="29">
        <f t="shared" si="2"/>
        <v>51843.172972499997</v>
      </c>
      <c r="W22" s="22">
        <v>0</v>
      </c>
      <c r="X22" s="29">
        <f t="shared" si="12"/>
        <v>0</v>
      </c>
      <c r="Y22" s="22">
        <v>0</v>
      </c>
      <c r="Z22" s="29">
        <f t="shared" si="7"/>
        <v>0</v>
      </c>
      <c r="AB22" s="26"/>
    </row>
    <row r="23" spans="1:28" ht="105" customHeight="1" x14ac:dyDescent="0.25">
      <c r="A23" s="25">
        <v>20</v>
      </c>
      <c r="B23" s="36" t="s">
        <v>43</v>
      </c>
      <c r="C23" s="21">
        <v>5.5</v>
      </c>
      <c r="D23" s="22">
        <v>26900</v>
      </c>
      <c r="E23" s="7">
        <v>36678717</v>
      </c>
      <c r="F23" s="8">
        <f t="shared" si="8"/>
        <v>29342973.600000001</v>
      </c>
      <c r="G23" s="8">
        <f t="shared" si="0"/>
        <v>5501807.5499999998</v>
      </c>
      <c r="H23" s="8">
        <f t="shared" si="10"/>
        <v>1833935.85</v>
      </c>
      <c r="I23" s="22" t="s">
        <v>8</v>
      </c>
      <c r="J23" s="8">
        <f>E23*1.04</f>
        <v>38145865.68</v>
      </c>
      <c r="K23" s="36" t="s">
        <v>137</v>
      </c>
      <c r="L23" s="8">
        <v>34789638</v>
      </c>
      <c r="M23" s="22">
        <v>792.1</v>
      </c>
      <c r="N23" s="29">
        <f>306.7*M23*1.2*1.0543</f>
        <v>307354.26348119997</v>
      </c>
      <c r="O23" s="22">
        <v>0</v>
      </c>
      <c r="P23" s="22">
        <v>0</v>
      </c>
      <c r="Q23" s="22">
        <v>0</v>
      </c>
      <c r="R23" s="29">
        <f t="shared" si="13"/>
        <v>0</v>
      </c>
      <c r="S23" s="22">
        <v>0</v>
      </c>
      <c r="T23" s="29">
        <f t="shared" si="11"/>
        <v>0</v>
      </c>
      <c r="U23" s="22">
        <v>240</v>
      </c>
      <c r="V23" s="29">
        <f t="shared" si="2"/>
        <v>663592.61404799996</v>
      </c>
      <c r="W23" s="22">
        <v>0</v>
      </c>
      <c r="X23" s="29">
        <f t="shared" si="12"/>
        <v>0</v>
      </c>
      <c r="Y23" s="22">
        <v>0</v>
      </c>
      <c r="Z23" s="29">
        <f t="shared" si="7"/>
        <v>0</v>
      </c>
      <c r="AB23" s="26"/>
    </row>
    <row r="24" spans="1:28" ht="35.25" customHeight="1" x14ac:dyDescent="0.25">
      <c r="A24" s="25">
        <v>21</v>
      </c>
      <c r="B24" s="15" t="s">
        <v>49</v>
      </c>
      <c r="C24" s="21">
        <v>1.5</v>
      </c>
      <c r="D24" s="22">
        <v>6510</v>
      </c>
      <c r="E24" s="7">
        <v>9866395</v>
      </c>
      <c r="F24" s="8">
        <f t="shared" si="8"/>
        <v>7893116</v>
      </c>
      <c r="G24" s="8">
        <f t="shared" si="0"/>
        <v>1479959.25</v>
      </c>
      <c r="H24" s="8">
        <f t="shared" si="10"/>
        <v>493319.75</v>
      </c>
      <c r="I24" s="22" t="s">
        <v>8</v>
      </c>
      <c r="J24" s="8">
        <f t="shared" si="5"/>
        <v>9866395</v>
      </c>
      <c r="K24" s="15" t="s">
        <v>122</v>
      </c>
      <c r="L24" s="8">
        <v>9358242</v>
      </c>
      <c r="M24" s="22">
        <v>641.22</v>
      </c>
      <c r="N24" s="29">
        <f>597.8*M24*1.2*1.0543</f>
        <v>484962.79615055997</v>
      </c>
      <c r="O24" s="22">
        <v>0</v>
      </c>
      <c r="P24" s="22">
        <v>0</v>
      </c>
      <c r="Q24" s="22">
        <v>0</v>
      </c>
      <c r="R24" s="29">
        <f t="shared" si="13"/>
        <v>0</v>
      </c>
      <c r="S24" s="22"/>
      <c r="T24" s="29">
        <f t="shared" si="11"/>
        <v>0</v>
      </c>
      <c r="U24" s="22">
        <v>22.5</v>
      </c>
      <c r="V24" s="29">
        <f t="shared" si="2"/>
        <v>62211.807566999996</v>
      </c>
      <c r="W24" s="22">
        <v>0</v>
      </c>
      <c r="X24" s="29">
        <f t="shared" si="12"/>
        <v>0</v>
      </c>
      <c r="Y24" s="22">
        <v>0</v>
      </c>
      <c r="Z24" s="29">
        <f t="shared" si="7"/>
        <v>0</v>
      </c>
      <c r="AB24" s="26"/>
    </row>
    <row r="25" spans="1:28" ht="101.25" customHeight="1" x14ac:dyDescent="0.25">
      <c r="A25" s="25">
        <v>22</v>
      </c>
      <c r="B25" s="15" t="s">
        <v>50</v>
      </c>
      <c r="C25" s="21">
        <v>1.115</v>
      </c>
      <c r="D25" s="22">
        <v>4900</v>
      </c>
      <c r="E25" s="7">
        <v>7466303</v>
      </c>
      <c r="F25" s="8">
        <f t="shared" si="8"/>
        <v>5973042.4000000004</v>
      </c>
      <c r="G25" s="8">
        <f t="shared" si="0"/>
        <v>1119945.45</v>
      </c>
      <c r="H25" s="8">
        <f t="shared" si="10"/>
        <v>373315.15</v>
      </c>
      <c r="I25" s="22" t="s">
        <v>8</v>
      </c>
      <c r="J25" s="8">
        <f t="shared" si="5"/>
        <v>7466303</v>
      </c>
      <c r="K25" s="15" t="s">
        <v>111</v>
      </c>
      <c r="L25" s="8">
        <v>7081763</v>
      </c>
      <c r="M25" s="22">
        <v>479.03</v>
      </c>
      <c r="N25" s="29">
        <f>727.7*M25*1.2*1.0543</f>
        <v>441022.29013595998</v>
      </c>
      <c r="O25" s="22">
        <v>0</v>
      </c>
      <c r="P25" s="22">
        <v>0</v>
      </c>
      <c r="Q25" s="22">
        <v>0</v>
      </c>
      <c r="R25" s="29">
        <f t="shared" si="13"/>
        <v>0</v>
      </c>
      <c r="S25" s="22">
        <v>0</v>
      </c>
      <c r="T25" s="29">
        <f t="shared" si="11"/>
        <v>0</v>
      </c>
      <c r="U25" s="22">
        <v>25</v>
      </c>
      <c r="V25" s="29">
        <f t="shared" si="2"/>
        <v>69124.230630000005</v>
      </c>
      <c r="W25" s="22">
        <v>0</v>
      </c>
      <c r="X25" s="29">
        <f t="shared" si="12"/>
        <v>0</v>
      </c>
      <c r="Y25" s="22">
        <v>0</v>
      </c>
      <c r="Z25" s="29">
        <f t="shared" si="7"/>
        <v>0</v>
      </c>
      <c r="AB25" s="26"/>
    </row>
    <row r="26" spans="1:28" ht="39" customHeight="1" x14ac:dyDescent="0.25">
      <c r="A26" s="25">
        <v>23</v>
      </c>
      <c r="B26" s="15" t="s">
        <v>51</v>
      </c>
      <c r="C26" s="21">
        <v>0.43</v>
      </c>
      <c r="D26" s="22">
        <v>1400</v>
      </c>
      <c r="E26" s="7">
        <v>1808222</v>
      </c>
      <c r="F26" s="8">
        <f t="shared" si="8"/>
        <v>1446577.6</v>
      </c>
      <c r="G26" s="8">
        <f t="shared" si="0"/>
        <v>271233.3</v>
      </c>
      <c r="H26" s="8">
        <f t="shared" si="10"/>
        <v>90411.1</v>
      </c>
      <c r="I26" s="22" t="s">
        <v>8</v>
      </c>
      <c r="J26" s="8">
        <f t="shared" si="5"/>
        <v>1808222</v>
      </c>
      <c r="K26" s="34" t="s">
        <v>112</v>
      </c>
      <c r="L26" s="8">
        <v>1715093</v>
      </c>
      <c r="M26" s="22">
        <v>11.32</v>
      </c>
      <c r="N26" s="29">
        <f>549.24*M26*1.2*1.0543</f>
        <v>7866.0017354880001</v>
      </c>
      <c r="O26" s="22">
        <v>0</v>
      </c>
      <c r="P26" s="22">
        <v>0</v>
      </c>
      <c r="Q26" s="22">
        <v>0</v>
      </c>
      <c r="R26" s="29">
        <f t="shared" si="13"/>
        <v>0</v>
      </c>
      <c r="S26" s="22">
        <v>0</v>
      </c>
      <c r="T26" s="29">
        <f t="shared" si="11"/>
        <v>0</v>
      </c>
      <c r="U26" s="22">
        <v>6.25</v>
      </c>
      <c r="V26" s="29">
        <f t="shared" si="2"/>
        <v>17281.057657500001</v>
      </c>
      <c r="W26" s="22">
        <v>0</v>
      </c>
      <c r="X26" s="29">
        <f t="shared" si="12"/>
        <v>0</v>
      </c>
      <c r="Y26" s="22">
        <v>0</v>
      </c>
      <c r="Z26" s="29">
        <f t="shared" si="7"/>
        <v>0</v>
      </c>
      <c r="AB26" s="26"/>
    </row>
    <row r="27" spans="1:28" ht="67.5" customHeight="1" x14ac:dyDescent="0.25">
      <c r="A27" s="25">
        <v>24</v>
      </c>
      <c r="B27" s="15" t="s">
        <v>77</v>
      </c>
      <c r="C27" s="21">
        <v>2.87</v>
      </c>
      <c r="D27" s="22">
        <v>20988</v>
      </c>
      <c r="E27" s="7">
        <v>26843999</v>
      </c>
      <c r="F27" s="8">
        <f t="shared" si="8"/>
        <v>21475199.200000003</v>
      </c>
      <c r="G27" s="8">
        <f t="shared" si="0"/>
        <v>4026599.8499999996</v>
      </c>
      <c r="H27" s="8">
        <f t="shared" si="10"/>
        <v>1342199.9500000002</v>
      </c>
      <c r="I27" s="22" t="s">
        <v>8</v>
      </c>
      <c r="J27" s="8">
        <f>E27*1.04</f>
        <v>27917758.960000001</v>
      </c>
      <c r="K27" s="15" t="s">
        <v>108</v>
      </c>
      <c r="L27" s="8">
        <v>25461443</v>
      </c>
      <c r="M27" s="22">
        <f>188.6+7.92+5.66</f>
        <v>202.17999999999998</v>
      </c>
      <c r="N27" s="29">
        <f>676.87*M27*1.2*1.0543</f>
        <v>173136.610331256</v>
      </c>
      <c r="O27" s="22">
        <v>0</v>
      </c>
      <c r="P27" s="22">
        <v>0</v>
      </c>
      <c r="Q27" s="22">
        <v>0</v>
      </c>
      <c r="R27" s="29">
        <f t="shared" si="13"/>
        <v>0</v>
      </c>
      <c r="S27" s="22">
        <v>0</v>
      </c>
      <c r="T27" s="29">
        <f t="shared" si="11"/>
        <v>0</v>
      </c>
      <c r="U27" s="22">
        <f>153+7.02</f>
        <v>160.02000000000001</v>
      </c>
      <c r="V27" s="29">
        <f t="shared" si="2"/>
        <v>442450.37541650404</v>
      </c>
      <c r="W27" s="22">
        <v>0</v>
      </c>
      <c r="X27" s="29">
        <f t="shared" si="12"/>
        <v>0</v>
      </c>
      <c r="Y27" s="22">
        <v>18.54</v>
      </c>
      <c r="Z27" s="29">
        <f t="shared" si="7"/>
        <v>51262.529435207995</v>
      </c>
      <c r="AB27" s="26"/>
    </row>
    <row r="28" spans="1:28" ht="31.5" x14ac:dyDescent="0.25">
      <c r="A28" s="25">
        <v>25</v>
      </c>
      <c r="B28" s="15" t="s">
        <v>76</v>
      </c>
      <c r="C28" s="21">
        <v>0.36</v>
      </c>
      <c r="D28" s="22">
        <v>2232</v>
      </c>
      <c r="E28" s="7">
        <v>2991504</v>
      </c>
      <c r="F28" s="8">
        <f t="shared" si="8"/>
        <v>2393203.2000000002</v>
      </c>
      <c r="G28" s="8">
        <f t="shared" si="0"/>
        <v>448725.6</v>
      </c>
      <c r="H28" s="8">
        <f t="shared" si="10"/>
        <v>149575.20000000001</v>
      </c>
      <c r="I28" s="22" t="s">
        <v>8</v>
      </c>
      <c r="J28" s="8">
        <f>E28*1.04</f>
        <v>3111164.16</v>
      </c>
      <c r="K28" s="15" t="s">
        <v>121</v>
      </c>
      <c r="L28" s="8">
        <v>2837432</v>
      </c>
      <c r="M28" s="22">
        <f>3.77+8.8</f>
        <v>12.57</v>
      </c>
      <c r="N28" s="29">
        <f>280.9*M28*1.2*1.0543</f>
        <v>4467.1698910799996</v>
      </c>
      <c r="O28" s="22">
        <v>0</v>
      </c>
      <c r="P28" s="22">
        <v>0</v>
      </c>
      <c r="Q28" s="22">
        <v>0</v>
      </c>
      <c r="R28" s="29">
        <f t="shared" si="13"/>
        <v>0</v>
      </c>
      <c r="S28" s="22">
        <v>0</v>
      </c>
      <c r="T28" s="29">
        <f t="shared" si="11"/>
        <v>0</v>
      </c>
      <c r="U28" s="22">
        <v>2.5</v>
      </c>
      <c r="V28" s="29">
        <f t="shared" si="2"/>
        <v>6912.4230630000002</v>
      </c>
      <c r="W28" s="22">
        <v>0</v>
      </c>
      <c r="X28" s="29">
        <f t="shared" si="12"/>
        <v>0</v>
      </c>
      <c r="Y28" s="22">
        <v>20.6</v>
      </c>
      <c r="Z28" s="29">
        <f t="shared" si="7"/>
        <v>56958.366039120003</v>
      </c>
      <c r="AB28" s="26"/>
    </row>
    <row r="29" spans="1:28" ht="37.5" customHeight="1" x14ac:dyDescent="0.25">
      <c r="A29" s="25">
        <v>26</v>
      </c>
      <c r="B29" s="15" t="s">
        <v>75</v>
      </c>
      <c r="C29" s="21">
        <v>1.5</v>
      </c>
      <c r="D29" s="22">
        <v>10280</v>
      </c>
      <c r="E29" s="7">
        <v>16098499</v>
      </c>
      <c r="F29" s="8">
        <f t="shared" si="8"/>
        <v>12878799.200000001</v>
      </c>
      <c r="G29" s="8">
        <f t="shared" si="0"/>
        <v>2414774.85</v>
      </c>
      <c r="H29" s="8">
        <f t="shared" si="10"/>
        <v>804924.95000000007</v>
      </c>
      <c r="I29" s="22" t="s">
        <v>8</v>
      </c>
      <c r="J29" s="8">
        <f>E29*1.04</f>
        <v>16742438.960000001</v>
      </c>
      <c r="K29" s="15" t="s">
        <v>124</v>
      </c>
      <c r="L29" s="8">
        <v>15269372</v>
      </c>
      <c r="M29" s="22">
        <v>0.88</v>
      </c>
      <c r="N29" s="29">
        <f>332.48*M29*1.2*1.0543</f>
        <v>370.16354918400003</v>
      </c>
      <c r="O29" s="22">
        <v>962.20799999999997</v>
      </c>
      <c r="P29" s="29">
        <f>564.82*O29*1.2*1.0543</f>
        <v>687581.97393000964</v>
      </c>
      <c r="Q29" s="22">
        <v>0</v>
      </c>
      <c r="R29" s="29">
        <f t="shared" si="13"/>
        <v>0</v>
      </c>
      <c r="S29" s="22">
        <v>0</v>
      </c>
      <c r="T29" s="29">
        <f t="shared" si="11"/>
        <v>0</v>
      </c>
      <c r="U29" s="22">
        <v>0</v>
      </c>
      <c r="V29" s="29">
        <f t="shared" si="2"/>
        <v>0</v>
      </c>
      <c r="W29" s="22">
        <v>0</v>
      </c>
      <c r="X29" s="29">
        <f t="shared" si="12"/>
        <v>0</v>
      </c>
      <c r="Y29" s="22">
        <v>2.06</v>
      </c>
      <c r="Z29" s="29">
        <f t="shared" si="7"/>
        <v>5695.8366039120001</v>
      </c>
      <c r="AB29" s="26"/>
    </row>
    <row r="30" spans="1:28" ht="39" customHeight="1" x14ac:dyDescent="0.25">
      <c r="A30" s="25">
        <v>27</v>
      </c>
      <c r="B30" s="15" t="s">
        <v>36</v>
      </c>
      <c r="C30" s="21">
        <v>0.34200000000000003</v>
      </c>
      <c r="D30" s="22">
        <v>1641</v>
      </c>
      <c r="E30" s="7">
        <v>2031194</v>
      </c>
      <c r="F30" s="8">
        <f t="shared" si="8"/>
        <v>1624955.2000000002</v>
      </c>
      <c r="G30" s="8">
        <f t="shared" si="0"/>
        <v>304679.09999999998</v>
      </c>
      <c r="H30" s="8">
        <f t="shared" ref="H30:H44" si="14">E30*0.05</f>
        <v>101559.70000000001</v>
      </c>
      <c r="I30" s="22" t="s">
        <v>8</v>
      </c>
      <c r="J30" s="8">
        <f t="shared" si="5"/>
        <v>2031194</v>
      </c>
      <c r="K30" s="15" t="s">
        <v>91</v>
      </c>
      <c r="L30" s="8">
        <v>1926581</v>
      </c>
      <c r="M30" s="22">
        <v>0</v>
      </c>
      <c r="N30" s="29">
        <v>0</v>
      </c>
      <c r="O30" s="22">
        <v>0</v>
      </c>
      <c r="P30" s="22">
        <v>0</v>
      </c>
      <c r="Q30" s="22">
        <v>0</v>
      </c>
      <c r="R30" s="29">
        <f t="shared" si="13"/>
        <v>0</v>
      </c>
      <c r="S30" s="22"/>
      <c r="T30" s="29">
        <f t="shared" si="11"/>
        <v>0</v>
      </c>
      <c r="U30" s="22">
        <v>5.4</v>
      </c>
      <c r="V30" s="29">
        <f t="shared" si="2"/>
        <v>14930.833816080001</v>
      </c>
      <c r="W30" s="22">
        <v>0</v>
      </c>
      <c r="X30" s="29">
        <f t="shared" si="12"/>
        <v>0</v>
      </c>
      <c r="Y30" s="22">
        <v>0</v>
      </c>
      <c r="Z30" s="29">
        <f t="shared" si="7"/>
        <v>0</v>
      </c>
      <c r="AB30" s="26"/>
    </row>
    <row r="31" spans="1:28" ht="31.5" x14ac:dyDescent="0.25">
      <c r="A31" s="25">
        <v>28</v>
      </c>
      <c r="B31" s="15" t="s">
        <v>79</v>
      </c>
      <c r="C31" s="21">
        <v>0.84499999999999997</v>
      </c>
      <c r="D31" s="22">
        <v>9292</v>
      </c>
      <c r="E31" s="7">
        <v>8704083</v>
      </c>
      <c r="F31" s="8">
        <f t="shared" si="8"/>
        <v>6963266.4000000004</v>
      </c>
      <c r="G31" s="8">
        <f t="shared" si="0"/>
        <v>1305612.45</v>
      </c>
      <c r="H31" s="8">
        <f t="shared" si="14"/>
        <v>435204.15</v>
      </c>
      <c r="I31" s="22" t="s">
        <v>8</v>
      </c>
      <c r="J31" s="8">
        <f>E31*1.04</f>
        <v>9052246.3200000003</v>
      </c>
      <c r="K31" s="15" t="s">
        <v>124</v>
      </c>
      <c r="L31" s="8">
        <v>8255793</v>
      </c>
      <c r="M31" s="22">
        <v>0</v>
      </c>
      <c r="N31" s="29">
        <v>0</v>
      </c>
      <c r="O31" s="22">
        <v>859.43520000000001</v>
      </c>
      <c r="P31" s="29">
        <f>338.63*O31*1.2*1.0543</f>
        <v>368200.20023332414</v>
      </c>
      <c r="Q31" s="22">
        <v>0</v>
      </c>
      <c r="R31" s="29">
        <f t="shared" si="13"/>
        <v>0</v>
      </c>
      <c r="S31" s="22"/>
      <c r="T31" s="29">
        <f t="shared" si="11"/>
        <v>0</v>
      </c>
      <c r="U31" s="22">
        <v>9.9</v>
      </c>
      <c r="V31" s="29">
        <f t="shared" si="2"/>
        <v>27373.195329480001</v>
      </c>
      <c r="W31" s="22">
        <v>0</v>
      </c>
      <c r="X31" s="29">
        <f t="shared" si="12"/>
        <v>0</v>
      </c>
      <c r="Y31" s="22">
        <v>0</v>
      </c>
      <c r="Z31" s="29">
        <f t="shared" si="7"/>
        <v>0</v>
      </c>
      <c r="AB31" s="26"/>
    </row>
    <row r="32" spans="1:28" ht="86.25" customHeight="1" x14ac:dyDescent="0.25">
      <c r="A32" s="25">
        <v>29</v>
      </c>
      <c r="B32" s="15" t="s">
        <v>86</v>
      </c>
      <c r="C32" s="21">
        <v>3.98</v>
      </c>
      <c r="D32" s="22">
        <v>46955</v>
      </c>
      <c r="E32" s="7">
        <v>44797789</v>
      </c>
      <c r="F32" s="8">
        <f t="shared" si="8"/>
        <v>35838231.200000003</v>
      </c>
      <c r="G32" s="8">
        <f t="shared" si="0"/>
        <v>6719668.3499999996</v>
      </c>
      <c r="H32" s="8">
        <f t="shared" si="14"/>
        <v>2239889.4500000002</v>
      </c>
      <c r="I32" s="22" t="s">
        <v>8</v>
      </c>
      <c r="J32" s="8">
        <f>E32*1.04</f>
        <v>46589700.560000002</v>
      </c>
      <c r="K32" s="15"/>
      <c r="L32" s="8">
        <v>42490552</v>
      </c>
      <c r="M32" s="22">
        <v>0</v>
      </c>
      <c r="N32" s="29">
        <v>0</v>
      </c>
      <c r="O32" s="22">
        <f>1909.44+634.14+1715.688</f>
        <v>4259.268</v>
      </c>
      <c r="P32" s="29">
        <f>355.91*O32*1.2*1.0543</f>
        <v>1917876.3800300208</v>
      </c>
      <c r="Q32" s="22">
        <v>0</v>
      </c>
      <c r="R32" s="29">
        <f t="shared" si="13"/>
        <v>0</v>
      </c>
      <c r="S32" s="22"/>
      <c r="T32" s="29">
        <f t="shared" si="11"/>
        <v>0</v>
      </c>
      <c r="U32" s="22">
        <f>36+31.5+63</f>
        <v>130.5</v>
      </c>
      <c r="V32" s="29">
        <f t="shared" si="2"/>
        <v>360828.48388860002</v>
      </c>
      <c r="W32" s="22">
        <v>0</v>
      </c>
      <c r="X32" s="29">
        <f t="shared" si="12"/>
        <v>0</v>
      </c>
      <c r="Y32" s="22">
        <v>0</v>
      </c>
      <c r="Z32" s="29">
        <f t="shared" si="7"/>
        <v>0</v>
      </c>
      <c r="AB32" s="26"/>
    </row>
    <row r="33" spans="1:28" ht="85.5" customHeight="1" x14ac:dyDescent="0.25">
      <c r="A33" s="25">
        <v>30</v>
      </c>
      <c r="B33" s="15" t="s">
        <v>90</v>
      </c>
      <c r="C33" s="21">
        <v>0.5</v>
      </c>
      <c r="D33" s="22">
        <v>3940</v>
      </c>
      <c r="E33" s="7">
        <v>5994080</v>
      </c>
      <c r="F33" s="8">
        <f t="shared" si="8"/>
        <v>4795264</v>
      </c>
      <c r="G33" s="8">
        <f t="shared" si="0"/>
        <v>899112</v>
      </c>
      <c r="H33" s="8">
        <f t="shared" si="14"/>
        <v>299704</v>
      </c>
      <c r="I33" s="22" t="s">
        <v>8</v>
      </c>
      <c r="J33" s="8">
        <f>E33*1.04</f>
        <v>6233843.2000000002</v>
      </c>
      <c r="K33" s="15" t="s">
        <v>93</v>
      </c>
      <c r="L33" s="8">
        <v>5685364</v>
      </c>
      <c r="M33" s="22">
        <f>30.18+10.19+9.24</f>
        <v>49.61</v>
      </c>
      <c r="N33" s="29">
        <f>961.86*M33*1.2*1.0543</f>
        <v>60370.746228936005</v>
      </c>
      <c r="O33" s="22">
        <v>0</v>
      </c>
      <c r="P33" s="29">
        <f>347.27*O33*1.2*1.0543</f>
        <v>0</v>
      </c>
      <c r="Q33" s="22">
        <v>0</v>
      </c>
      <c r="R33" s="29">
        <f t="shared" si="13"/>
        <v>0</v>
      </c>
      <c r="S33" s="22"/>
      <c r="T33" s="29"/>
      <c r="U33" s="22">
        <f>43.2+11.232+25.272</f>
        <v>79.704000000000008</v>
      </c>
      <c r="V33" s="29">
        <f t="shared" si="2"/>
        <v>220379.10712534082</v>
      </c>
      <c r="W33" s="22">
        <v>0</v>
      </c>
      <c r="X33" s="29">
        <f t="shared" si="12"/>
        <v>0</v>
      </c>
      <c r="Y33" s="22">
        <v>18.71</v>
      </c>
      <c r="Z33" s="29">
        <f t="shared" si="7"/>
        <v>51732.574203492004</v>
      </c>
      <c r="AB33" s="26"/>
    </row>
    <row r="34" spans="1:28" ht="39" customHeight="1" x14ac:dyDescent="0.25">
      <c r="A34" s="25">
        <v>31</v>
      </c>
      <c r="B34" s="15" t="s">
        <v>37</v>
      </c>
      <c r="C34" s="21">
        <v>0.13800000000000001</v>
      </c>
      <c r="D34" s="22">
        <v>897</v>
      </c>
      <c r="E34" s="7">
        <v>1726635</v>
      </c>
      <c r="F34" s="8">
        <f t="shared" si="8"/>
        <v>1381308</v>
      </c>
      <c r="G34" s="8">
        <f t="shared" si="0"/>
        <v>258995.25</v>
      </c>
      <c r="H34" s="8">
        <f t="shared" si="14"/>
        <v>86331.75</v>
      </c>
      <c r="I34" s="22" t="s">
        <v>8</v>
      </c>
      <c r="J34" s="8">
        <f t="shared" si="5"/>
        <v>1726635</v>
      </c>
      <c r="K34" s="34" t="s">
        <v>95</v>
      </c>
      <c r="L34" s="8">
        <v>1637707</v>
      </c>
      <c r="M34" s="22">
        <v>0</v>
      </c>
      <c r="N34" s="29">
        <v>0</v>
      </c>
      <c r="O34" s="22">
        <v>18.251999999999999</v>
      </c>
      <c r="P34" s="29">
        <f>347.27*O34*1.2*1.0543</f>
        <v>8019.0547701263995</v>
      </c>
      <c r="Q34" s="22">
        <v>0</v>
      </c>
      <c r="R34" s="29">
        <f t="shared" si="13"/>
        <v>0</v>
      </c>
      <c r="S34" s="22">
        <v>0</v>
      </c>
      <c r="T34" s="29">
        <f t="shared" si="11"/>
        <v>0</v>
      </c>
      <c r="U34" s="22">
        <v>0</v>
      </c>
      <c r="V34" s="29">
        <f t="shared" si="2"/>
        <v>0</v>
      </c>
      <c r="W34" s="22">
        <v>0</v>
      </c>
      <c r="X34" s="29">
        <f t="shared" si="12"/>
        <v>0</v>
      </c>
      <c r="Y34" s="22">
        <v>0</v>
      </c>
      <c r="Z34" s="29">
        <f t="shared" si="7"/>
        <v>0</v>
      </c>
      <c r="AB34" s="26"/>
    </row>
    <row r="35" spans="1:28" ht="31.5" x14ac:dyDescent="0.25">
      <c r="A35" s="25">
        <v>32</v>
      </c>
      <c r="B35" s="15" t="s">
        <v>82</v>
      </c>
      <c r="C35" s="21">
        <v>1.58</v>
      </c>
      <c r="D35" s="22">
        <v>7410</v>
      </c>
      <c r="E35" s="7">
        <v>10681851</v>
      </c>
      <c r="F35" s="8">
        <f t="shared" si="8"/>
        <v>8545480.8000000007</v>
      </c>
      <c r="G35" s="8">
        <f t="shared" si="0"/>
        <v>1602277.65</v>
      </c>
      <c r="H35" s="8">
        <f t="shared" si="14"/>
        <v>534092.55000000005</v>
      </c>
      <c r="I35" s="22" t="s">
        <v>8</v>
      </c>
      <c r="J35" s="8">
        <f t="shared" si="5"/>
        <v>10681851</v>
      </c>
      <c r="K35" s="15" t="s">
        <v>125</v>
      </c>
      <c r="L35" s="8">
        <v>10131699</v>
      </c>
      <c r="M35" s="22">
        <v>18.86</v>
      </c>
      <c r="N35" s="29">
        <f>902.35*M35*1.2*1.0543</f>
        <v>21530.89899636</v>
      </c>
      <c r="O35" s="22">
        <v>0</v>
      </c>
      <c r="P35" s="29">
        <f>338.63*O35*1.2*1.0543</f>
        <v>0</v>
      </c>
      <c r="Q35" s="22">
        <v>0</v>
      </c>
      <c r="R35" s="29">
        <f t="shared" si="13"/>
        <v>0</v>
      </c>
      <c r="S35" s="22">
        <v>0</v>
      </c>
      <c r="T35" s="29">
        <f t="shared" si="11"/>
        <v>0</v>
      </c>
      <c r="U35" s="22">
        <v>195.6</v>
      </c>
      <c r="V35" s="29">
        <f t="shared" si="2"/>
        <v>540827.98044911993</v>
      </c>
      <c r="W35" s="22">
        <v>0</v>
      </c>
      <c r="X35" s="29">
        <f t="shared" si="12"/>
        <v>0</v>
      </c>
      <c r="Y35" s="22">
        <v>0</v>
      </c>
      <c r="Z35" s="29">
        <f t="shared" si="7"/>
        <v>0</v>
      </c>
      <c r="AB35" s="26"/>
    </row>
    <row r="36" spans="1:28" ht="54.75" customHeight="1" x14ac:dyDescent="0.25">
      <c r="A36" s="25">
        <v>33</v>
      </c>
      <c r="B36" s="15" t="s">
        <v>38</v>
      </c>
      <c r="C36" s="21">
        <v>0.374</v>
      </c>
      <c r="D36" s="22">
        <v>3179</v>
      </c>
      <c r="E36" s="7">
        <v>4447332</v>
      </c>
      <c r="F36" s="8">
        <f t="shared" si="8"/>
        <v>3557865.6</v>
      </c>
      <c r="G36" s="8">
        <f t="shared" si="0"/>
        <v>667099.79999999993</v>
      </c>
      <c r="H36" s="8">
        <f t="shared" si="14"/>
        <v>222366.6</v>
      </c>
      <c r="I36" s="22" t="s">
        <v>8</v>
      </c>
      <c r="J36" s="8">
        <f t="shared" si="5"/>
        <v>4447332</v>
      </c>
      <c r="K36" s="15" t="s">
        <v>100</v>
      </c>
      <c r="L36" s="8">
        <v>4218278</v>
      </c>
      <c r="M36" s="22">
        <v>5.94</v>
      </c>
      <c r="N36" s="29">
        <f>973.76*M36*1.2*1.0543</f>
        <v>7317.8554775039993</v>
      </c>
      <c r="O36" s="22">
        <v>29.952000000000002</v>
      </c>
      <c r="P36" s="29">
        <f t="shared" ref="P36:P48" si="15">347.27*O36*1.2*1.0543</f>
        <v>13159.474494566399</v>
      </c>
      <c r="Q36" s="22">
        <v>0</v>
      </c>
      <c r="R36" s="29">
        <f t="shared" si="13"/>
        <v>0</v>
      </c>
      <c r="S36" s="22">
        <v>0</v>
      </c>
      <c r="T36" s="29">
        <f t="shared" si="11"/>
        <v>0</v>
      </c>
      <c r="U36" s="22">
        <v>43.2</v>
      </c>
      <c r="V36" s="29">
        <f t="shared" si="2"/>
        <v>119446.67052864001</v>
      </c>
      <c r="W36" s="22">
        <v>0</v>
      </c>
      <c r="X36" s="29">
        <f t="shared" si="12"/>
        <v>0</v>
      </c>
      <c r="Y36" s="22">
        <v>13.904999999999999</v>
      </c>
      <c r="Z36" s="29">
        <f t="shared" si="7"/>
        <v>38446.897076406</v>
      </c>
      <c r="AB36" s="26"/>
    </row>
    <row r="37" spans="1:28" ht="166.5" customHeight="1" x14ac:dyDescent="0.25">
      <c r="A37" s="25">
        <v>34</v>
      </c>
      <c r="B37" s="15" t="s">
        <v>28</v>
      </c>
      <c r="C37" s="21">
        <v>0.4</v>
      </c>
      <c r="D37" s="22">
        <v>2600</v>
      </c>
      <c r="E37" s="7">
        <v>4070775</v>
      </c>
      <c r="F37" s="8">
        <f t="shared" si="8"/>
        <v>3256620</v>
      </c>
      <c r="G37" s="8">
        <f t="shared" si="0"/>
        <v>610616.25</v>
      </c>
      <c r="H37" s="8">
        <f t="shared" si="14"/>
        <v>203538.75</v>
      </c>
      <c r="I37" s="22" t="s">
        <v>8</v>
      </c>
      <c r="J37" s="8">
        <f>E37*1.04</f>
        <v>4233606</v>
      </c>
      <c r="K37" s="36" t="s">
        <v>126</v>
      </c>
      <c r="L37" s="8">
        <v>3861116</v>
      </c>
      <c r="M37" s="22">
        <f>2.94+4.12</f>
        <v>7.0600000000000005</v>
      </c>
      <c r="N37" s="29">
        <f>1033.27*M37*1.2*1.0543</f>
        <v>9229.1982247920005</v>
      </c>
      <c r="O37" s="22">
        <v>0</v>
      </c>
      <c r="P37" s="29">
        <f t="shared" si="15"/>
        <v>0</v>
      </c>
      <c r="Q37" s="22">
        <v>0</v>
      </c>
      <c r="R37" s="29">
        <f t="shared" si="13"/>
        <v>0</v>
      </c>
      <c r="S37" s="22">
        <v>0</v>
      </c>
      <c r="T37" s="29">
        <f t="shared" si="11"/>
        <v>0</v>
      </c>
      <c r="U37" s="22">
        <f>64.94+7.3008</f>
        <v>72.240799999999993</v>
      </c>
      <c r="V37" s="29">
        <f t="shared" si="2"/>
        <v>199743.58880382814</v>
      </c>
      <c r="W37" s="22">
        <v>0</v>
      </c>
      <c r="X37" s="29">
        <f t="shared" si="12"/>
        <v>0</v>
      </c>
      <c r="Y37" s="22">
        <v>8.5950000000000006</v>
      </c>
      <c r="Z37" s="29">
        <f t="shared" si="7"/>
        <v>23764.910490594</v>
      </c>
      <c r="AB37" s="26"/>
    </row>
    <row r="38" spans="1:28" ht="243.75" customHeight="1" x14ac:dyDescent="0.25">
      <c r="A38" s="25">
        <v>35</v>
      </c>
      <c r="B38" s="15" t="s">
        <v>29</v>
      </c>
      <c r="C38" s="21">
        <v>1.33</v>
      </c>
      <c r="D38" s="22">
        <v>9975</v>
      </c>
      <c r="E38" s="7">
        <v>12592041</v>
      </c>
      <c r="F38" s="8">
        <f t="shared" si="8"/>
        <v>10073632.800000001</v>
      </c>
      <c r="G38" s="8">
        <f>E38*0.15</f>
        <v>1888806.15</v>
      </c>
      <c r="H38" s="8">
        <f t="shared" si="14"/>
        <v>629602.05000000005</v>
      </c>
      <c r="I38" s="22" t="s">
        <v>8</v>
      </c>
      <c r="J38" s="8">
        <f>E38*1.04</f>
        <v>13095722.640000001</v>
      </c>
      <c r="K38" s="15" t="s">
        <v>92</v>
      </c>
      <c r="L38" s="8">
        <v>11943508</v>
      </c>
      <c r="M38" s="22">
        <v>38.5</v>
      </c>
      <c r="N38" s="29">
        <f>1045.17*M38*1.2*1.0543</f>
        <v>50908.830172200011</v>
      </c>
      <c r="O38" s="22">
        <v>0</v>
      </c>
      <c r="P38" s="29">
        <f t="shared" si="15"/>
        <v>0</v>
      </c>
      <c r="Q38" s="22">
        <v>0</v>
      </c>
      <c r="R38" s="29">
        <f t="shared" si="13"/>
        <v>0</v>
      </c>
      <c r="S38" s="22">
        <v>0</v>
      </c>
      <c r="T38" s="29">
        <f t="shared" si="11"/>
        <v>0</v>
      </c>
      <c r="U38" s="22">
        <v>48.4</v>
      </c>
      <c r="V38" s="29">
        <f t="shared" si="2"/>
        <v>133824.51049968001</v>
      </c>
      <c r="W38" s="22">
        <v>0</v>
      </c>
      <c r="X38" s="29">
        <f t="shared" si="12"/>
        <v>0</v>
      </c>
      <c r="Y38" s="22">
        <v>90.125</v>
      </c>
      <c r="Z38" s="29">
        <f t="shared" si="7"/>
        <v>249192.85142115</v>
      </c>
      <c r="AB38" s="26"/>
    </row>
    <row r="39" spans="1:28" ht="72" customHeight="1" x14ac:dyDescent="0.25">
      <c r="A39" s="25">
        <v>36</v>
      </c>
      <c r="B39" s="15" t="s">
        <v>39</v>
      </c>
      <c r="C39" s="21">
        <v>0.51200000000000001</v>
      </c>
      <c r="D39" s="22">
        <v>2304</v>
      </c>
      <c r="E39" s="7">
        <v>4240691</v>
      </c>
      <c r="F39" s="8">
        <f t="shared" si="8"/>
        <v>3392552.8000000003</v>
      </c>
      <c r="G39" s="8">
        <f t="shared" ref="G39:G66" si="16">E39*0.15</f>
        <v>636103.65</v>
      </c>
      <c r="H39" s="8">
        <f t="shared" si="14"/>
        <v>212034.55000000002</v>
      </c>
      <c r="I39" s="22" t="s">
        <v>8</v>
      </c>
      <c r="J39" s="8">
        <f t="shared" si="5"/>
        <v>4240691</v>
      </c>
      <c r="K39" s="34" t="s">
        <v>101</v>
      </c>
      <c r="L39" s="8">
        <v>4022280</v>
      </c>
      <c r="M39" s="22">
        <f>9.88+14.74</f>
        <v>24.62</v>
      </c>
      <c r="N39" s="29">
        <f>938.06*M39*1.2*1.0543</f>
        <v>29218.917263951997</v>
      </c>
      <c r="O39" s="22">
        <v>28.803999999999998</v>
      </c>
      <c r="P39" s="29">
        <f>321.35*O39*1.2*1.0543</f>
        <v>11710.530217464</v>
      </c>
      <c r="Q39" s="22">
        <v>0</v>
      </c>
      <c r="R39" s="29">
        <f t="shared" si="13"/>
        <v>0</v>
      </c>
      <c r="S39" s="22">
        <v>0</v>
      </c>
      <c r="T39" s="29">
        <f t="shared" si="11"/>
        <v>0</v>
      </c>
      <c r="U39" s="22">
        <v>24.523</v>
      </c>
      <c r="V39" s="29">
        <f t="shared" si="2"/>
        <v>67805.340309579595</v>
      </c>
      <c r="W39" s="22">
        <v>7.8840000000000003</v>
      </c>
      <c r="X39" s="29">
        <f t="shared" si="12"/>
        <v>21799.017371476803</v>
      </c>
      <c r="Y39" s="22">
        <v>34.505000000000003</v>
      </c>
      <c r="Z39" s="29">
        <f t="shared" si="7"/>
        <v>95405.263115526002</v>
      </c>
      <c r="AB39" s="26"/>
    </row>
    <row r="40" spans="1:28" ht="56.25" customHeight="1" x14ac:dyDescent="0.25">
      <c r="A40" s="25">
        <v>37</v>
      </c>
      <c r="B40" s="15" t="s">
        <v>40</v>
      </c>
      <c r="C40" s="21">
        <v>0.51</v>
      </c>
      <c r="D40" s="22">
        <v>2269.5</v>
      </c>
      <c r="E40" s="7">
        <v>3398676</v>
      </c>
      <c r="F40" s="8">
        <f t="shared" si="8"/>
        <v>2718940.8000000003</v>
      </c>
      <c r="G40" s="8">
        <f t="shared" si="16"/>
        <v>509801.39999999997</v>
      </c>
      <c r="H40" s="8">
        <f t="shared" si="14"/>
        <v>169933.80000000002</v>
      </c>
      <c r="I40" s="22" t="s">
        <v>8</v>
      </c>
      <c r="J40" s="8">
        <f t="shared" si="5"/>
        <v>3398676</v>
      </c>
      <c r="K40" s="15" t="s">
        <v>94</v>
      </c>
      <c r="L40" s="8">
        <v>3223632</v>
      </c>
      <c r="M40" s="22">
        <v>18.86</v>
      </c>
      <c r="N40" s="29">
        <f>1021.36*M40*1.2*1.0543</f>
        <v>24370.586799935998</v>
      </c>
      <c r="O40" s="22">
        <v>0</v>
      </c>
      <c r="P40" s="29">
        <f t="shared" si="15"/>
        <v>0</v>
      </c>
      <c r="Q40" s="22">
        <v>0</v>
      </c>
      <c r="R40" s="29">
        <f t="shared" si="13"/>
        <v>0</v>
      </c>
      <c r="S40" s="22">
        <v>0</v>
      </c>
      <c r="T40" s="29">
        <f t="shared" si="11"/>
        <v>0</v>
      </c>
      <c r="U40" s="22">
        <v>63.8</v>
      </c>
      <c r="V40" s="29">
        <f t="shared" si="2"/>
        <v>176405.03656775999</v>
      </c>
      <c r="W40" s="22">
        <v>0</v>
      </c>
      <c r="X40" s="29">
        <f t="shared" si="12"/>
        <v>0</v>
      </c>
      <c r="Y40" s="22"/>
      <c r="Z40" s="29">
        <f t="shared" si="7"/>
        <v>0</v>
      </c>
      <c r="AB40" s="26"/>
    </row>
    <row r="41" spans="1:28" ht="153" customHeight="1" x14ac:dyDescent="0.25">
      <c r="A41" s="25">
        <v>38</v>
      </c>
      <c r="B41" s="15" t="s">
        <v>34</v>
      </c>
      <c r="C41" s="21">
        <v>1.5349999999999999</v>
      </c>
      <c r="D41" s="22">
        <v>9379.4</v>
      </c>
      <c r="E41" s="7">
        <v>12915243</v>
      </c>
      <c r="F41" s="8">
        <f t="shared" si="8"/>
        <v>10332194.4</v>
      </c>
      <c r="G41" s="8">
        <f t="shared" si="16"/>
        <v>1937286.45</v>
      </c>
      <c r="H41" s="8">
        <f t="shared" si="14"/>
        <v>645762.15</v>
      </c>
      <c r="I41" s="22" t="s">
        <v>8</v>
      </c>
      <c r="J41" s="8">
        <f>E41*1.04</f>
        <v>13431852.720000001</v>
      </c>
      <c r="K41" s="15" t="s">
        <v>97</v>
      </c>
      <c r="L41" s="8">
        <v>12250064</v>
      </c>
      <c r="M41" s="22">
        <v>10.35</v>
      </c>
      <c r="N41" s="29">
        <f>1033.27*M41*1.2*1.0543</f>
        <v>13530.05688762</v>
      </c>
      <c r="O41" s="22">
        <v>0</v>
      </c>
      <c r="P41" s="29">
        <f t="shared" si="15"/>
        <v>0</v>
      </c>
      <c r="Q41" s="22">
        <v>0</v>
      </c>
      <c r="R41" s="22">
        <v>0</v>
      </c>
      <c r="S41" s="22">
        <v>0</v>
      </c>
      <c r="T41" s="22">
        <v>0</v>
      </c>
      <c r="U41" s="22">
        <f>149.3+22.91</f>
        <v>172.21</v>
      </c>
      <c r="V41" s="29">
        <f t="shared" si="2"/>
        <v>476155.35027169203</v>
      </c>
      <c r="W41" s="22">
        <v>11.664</v>
      </c>
      <c r="X41" s="29">
        <f t="shared" si="12"/>
        <v>32250.6010427328</v>
      </c>
      <c r="Y41" s="22">
        <v>24.204999999999998</v>
      </c>
      <c r="Z41" s="29">
        <f t="shared" si="7"/>
        <v>66926.080095965997</v>
      </c>
      <c r="AB41" s="26"/>
    </row>
    <row r="42" spans="1:28" ht="84" customHeight="1" x14ac:dyDescent="0.25">
      <c r="A42" s="25">
        <v>39</v>
      </c>
      <c r="B42" s="15" t="s">
        <v>35</v>
      </c>
      <c r="C42" s="21">
        <v>0.78</v>
      </c>
      <c r="D42" s="22">
        <v>6864</v>
      </c>
      <c r="E42" s="7">
        <v>8689924</v>
      </c>
      <c r="F42" s="8">
        <f t="shared" si="8"/>
        <v>6951939.2000000002</v>
      </c>
      <c r="G42" s="8">
        <f t="shared" si="16"/>
        <v>1303488.5999999999</v>
      </c>
      <c r="H42" s="8">
        <f t="shared" si="14"/>
        <v>434496.2</v>
      </c>
      <c r="I42" s="22" t="s">
        <v>8</v>
      </c>
      <c r="J42" s="8">
        <f>E42*1.04</f>
        <v>9037520.9600000009</v>
      </c>
      <c r="K42" s="36" t="s">
        <v>127</v>
      </c>
      <c r="L42" s="8">
        <v>8242364</v>
      </c>
      <c r="M42" s="22">
        <f>4.64+25.25</f>
        <v>29.89</v>
      </c>
      <c r="N42" s="29">
        <f>961.86*M42*1.2*1.0543</f>
        <v>36373.344180264001</v>
      </c>
      <c r="O42" s="22">
        <v>24.803999999999998</v>
      </c>
      <c r="P42" s="29">
        <f>338.63*O42*1.2*1.0543</f>
        <v>10626.557728363201</v>
      </c>
      <c r="Q42" s="22">
        <v>0</v>
      </c>
      <c r="R42" s="22">
        <v>0</v>
      </c>
      <c r="S42" s="22">
        <v>0</v>
      </c>
      <c r="T42" s="22">
        <v>0</v>
      </c>
      <c r="U42" s="22">
        <v>11.513</v>
      </c>
      <c r="V42" s="29">
        <f t="shared" si="2"/>
        <v>31833.0906897276</v>
      </c>
      <c r="W42" s="22">
        <v>0</v>
      </c>
      <c r="X42" s="29">
        <f t="shared" si="12"/>
        <v>0</v>
      </c>
      <c r="Y42" s="22">
        <v>59.122</v>
      </c>
      <c r="Z42" s="29">
        <f t="shared" si="7"/>
        <v>163470.51053227441</v>
      </c>
      <c r="AB42" s="26"/>
    </row>
    <row r="43" spans="1:28" ht="57.75" customHeight="1" x14ac:dyDescent="0.25">
      <c r="A43" s="25">
        <v>40</v>
      </c>
      <c r="B43" s="15" t="s">
        <v>47</v>
      </c>
      <c r="C43" s="21">
        <v>0.57499999999999996</v>
      </c>
      <c r="D43" s="22">
        <v>12350</v>
      </c>
      <c r="E43" s="7">
        <v>13519259</v>
      </c>
      <c r="F43" s="8">
        <f t="shared" si="8"/>
        <v>10815407.200000001</v>
      </c>
      <c r="G43" s="8">
        <f t="shared" si="16"/>
        <v>2027888.8499999999</v>
      </c>
      <c r="H43" s="8">
        <f t="shared" si="14"/>
        <v>675962.95000000007</v>
      </c>
      <c r="I43" s="22" t="s">
        <v>8</v>
      </c>
      <c r="J43" s="8">
        <f>E43*1.04</f>
        <v>14060029.360000001</v>
      </c>
      <c r="K43" s="15" t="s">
        <v>99</v>
      </c>
      <c r="L43" s="8">
        <v>12822972</v>
      </c>
      <c r="M43" s="22">
        <v>0</v>
      </c>
      <c r="N43" s="22">
        <v>0</v>
      </c>
      <c r="O43" s="22">
        <v>16.847999999999999</v>
      </c>
      <c r="P43" s="29">
        <f>304.07*O43*1.2*1.0543</f>
        <v>6481.3784458175987</v>
      </c>
      <c r="Q43" s="22">
        <v>0</v>
      </c>
      <c r="R43" s="22">
        <v>0</v>
      </c>
      <c r="S43" s="22">
        <v>0</v>
      </c>
      <c r="T43" s="22">
        <v>0</v>
      </c>
      <c r="U43" s="22">
        <f>51.75</f>
        <v>51.75</v>
      </c>
      <c r="V43" s="29">
        <f t="shared" si="2"/>
        <v>143087.1574041</v>
      </c>
      <c r="W43" s="22">
        <v>0</v>
      </c>
      <c r="X43" s="29">
        <f t="shared" si="12"/>
        <v>0</v>
      </c>
      <c r="Y43" s="22">
        <v>0</v>
      </c>
      <c r="Z43" s="29">
        <f t="shared" si="7"/>
        <v>0</v>
      </c>
      <c r="AB43" s="26"/>
    </row>
    <row r="44" spans="1:28" ht="37.5" customHeight="1" x14ac:dyDescent="0.25">
      <c r="A44" s="25">
        <v>41</v>
      </c>
      <c r="B44" s="15" t="s">
        <v>81</v>
      </c>
      <c r="C44" s="21">
        <v>0.48</v>
      </c>
      <c r="D44" s="22">
        <v>5040</v>
      </c>
      <c r="E44" s="7">
        <v>4714455</v>
      </c>
      <c r="F44" s="8">
        <f t="shared" si="8"/>
        <v>3771564</v>
      </c>
      <c r="G44" s="8">
        <f t="shared" si="16"/>
        <v>707168.25</v>
      </c>
      <c r="H44" s="8">
        <f t="shared" si="14"/>
        <v>235722.75</v>
      </c>
      <c r="I44" s="22" t="s">
        <v>8</v>
      </c>
      <c r="J44" s="8">
        <f>E44*1.04</f>
        <v>4903033.2</v>
      </c>
      <c r="K44" s="15" t="s">
        <v>128</v>
      </c>
      <c r="L44" s="8">
        <v>4471645</v>
      </c>
      <c r="M44" s="22">
        <v>0</v>
      </c>
      <c r="N44" s="22">
        <v>0</v>
      </c>
      <c r="O44" s="22">
        <v>462.38400000000001</v>
      </c>
      <c r="P44" s="29">
        <f>338.63*O44*1.2*1.0543</f>
        <v>198095.07614382723</v>
      </c>
      <c r="Q44" s="22">
        <v>0</v>
      </c>
      <c r="R44" s="22">
        <v>0</v>
      </c>
      <c r="S44" s="22">
        <v>0</v>
      </c>
      <c r="T44" s="22">
        <v>0</v>
      </c>
      <c r="U44" s="22">
        <v>9</v>
      </c>
      <c r="V44" s="29">
        <f t="shared" si="2"/>
        <v>24884.723026799998</v>
      </c>
      <c r="W44" s="22">
        <v>0</v>
      </c>
      <c r="X44" s="29">
        <f t="shared" si="12"/>
        <v>0</v>
      </c>
      <c r="Y44" s="22">
        <v>0</v>
      </c>
      <c r="Z44" s="29">
        <f t="shared" si="7"/>
        <v>0</v>
      </c>
      <c r="AB44" s="26"/>
    </row>
    <row r="45" spans="1:28" ht="37.5" customHeight="1" x14ac:dyDescent="0.25">
      <c r="A45" s="25">
        <v>42</v>
      </c>
      <c r="B45" s="15" t="s">
        <v>52</v>
      </c>
      <c r="C45" s="21">
        <v>1.165</v>
      </c>
      <c r="D45" s="22">
        <v>6480</v>
      </c>
      <c r="E45" s="7">
        <v>10799721</v>
      </c>
      <c r="F45" s="8">
        <f t="shared" si="8"/>
        <v>8639776.8000000007</v>
      </c>
      <c r="G45" s="8">
        <f t="shared" si="16"/>
        <v>1619958.15</v>
      </c>
      <c r="H45" s="8">
        <f t="shared" ref="H45" si="17">E45*0.05</f>
        <v>539986.05000000005</v>
      </c>
      <c r="I45" s="22" t="s">
        <v>8</v>
      </c>
      <c r="J45" s="8">
        <f t="shared" si="5"/>
        <v>10799721</v>
      </c>
      <c r="K45" s="36" t="s">
        <v>129</v>
      </c>
      <c r="L45" s="8">
        <v>10243499</v>
      </c>
      <c r="M45" s="22">
        <v>11.32</v>
      </c>
      <c r="N45" s="29">
        <f>588.09*M45*1.2*1.0543</f>
        <v>8422.3963306080004</v>
      </c>
      <c r="O45" s="22">
        <v>0</v>
      </c>
      <c r="P45" s="29">
        <f t="shared" si="15"/>
        <v>0</v>
      </c>
      <c r="Q45" s="22">
        <v>0</v>
      </c>
      <c r="R45" s="22">
        <v>0</v>
      </c>
      <c r="S45" s="22">
        <v>0</v>
      </c>
      <c r="T45" s="22">
        <v>0</v>
      </c>
      <c r="U45" s="22">
        <v>37.5</v>
      </c>
      <c r="V45" s="29">
        <f t="shared" si="2"/>
        <v>103686.34594499999</v>
      </c>
      <c r="W45" s="22">
        <v>0</v>
      </c>
      <c r="X45" s="29">
        <f t="shared" si="12"/>
        <v>0</v>
      </c>
      <c r="Y45" s="22">
        <v>0</v>
      </c>
      <c r="Z45" s="29">
        <f t="shared" si="7"/>
        <v>0</v>
      </c>
      <c r="AB45" s="26"/>
    </row>
    <row r="46" spans="1:28" ht="52.5" customHeight="1" x14ac:dyDescent="0.25">
      <c r="A46" s="25">
        <v>43</v>
      </c>
      <c r="B46" s="15" t="s">
        <v>33</v>
      </c>
      <c r="C46" s="21">
        <v>2.7429999999999999</v>
      </c>
      <c r="D46" s="22">
        <v>28298</v>
      </c>
      <c r="E46" s="7">
        <v>32680326</v>
      </c>
      <c r="F46" s="8">
        <f t="shared" si="8"/>
        <v>26144260.800000001</v>
      </c>
      <c r="G46" s="8">
        <f t="shared" si="16"/>
        <v>4902048.8999999994</v>
      </c>
      <c r="H46" s="8">
        <f t="shared" ref="H46" si="18">E46*0.05</f>
        <v>1634016.3</v>
      </c>
      <c r="I46" s="22" t="s">
        <v>8</v>
      </c>
      <c r="J46" s="8">
        <f>E46*1.04</f>
        <v>33987539.039999999</v>
      </c>
      <c r="K46" s="15" t="s">
        <v>98</v>
      </c>
      <c r="L46" s="8">
        <v>30997180</v>
      </c>
      <c r="M46" s="22">
        <f>0.97+20.9+11.84+23.11+19.42</f>
        <v>76.239999999999995</v>
      </c>
      <c r="N46" s="29">
        <f>938.06*M46*1.2*1.0543</f>
        <v>90481.326247103993</v>
      </c>
      <c r="O46" s="22">
        <f>277.4304+149.76+11.232</f>
        <v>438.42240000000004</v>
      </c>
      <c r="P46" s="29">
        <f>321.35*O46*1.2*1.0543</f>
        <v>178244.64529971842</v>
      </c>
      <c r="Q46" s="22">
        <v>0</v>
      </c>
      <c r="R46" s="22">
        <v>0</v>
      </c>
      <c r="S46" s="22">
        <v>0</v>
      </c>
      <c r="T46" s="22">
        <v>0</v>
      </c>
      <c r="U46" s="22">
        <f>10.8+11.232+22.5</f>
        <v>44.531999999999996</v>
      </c>
      <c r="V46" s="29">
        <f t="shared" si="2"/>
        <v>123129.6095366064</v>
      </c>
      <c r="W46" s="22">
        <v>0</v>
      </c>
      <c r="X46" s="29">
        <f t="shared" si="12"/>
        <v>0</v>
      </c>
      <c r="Y46" s="22">
        <f>2.266+9.888+54.075+10.764</f>
        <v>76.992999999999995</v>
      </c>
      <c r="Z46" s="29">
        <f t="shared" si="7"/>
        <v>212883.27555582358</v>
      </c>
      <c r="AB46" s="26"/>
    </row>
    <row r="47" spans="1:28" ht="36.75" customHeight="1" x14ac:dyDescent="0.25">
      <c r="A47" s="25">
        <v>44</v>
      </c>
      <c r="B47" s="15" t="s">
        <v>83</v>
      </c>
      <c r="C47" s="21">
        <v>1.1519999999999999</v>
      </c>
      <c r="D47" s="22">
        <v>8064</v>
      </c>
      <c r="E47" s="7">
        <v>12746956</v>
      </c>
      <c r="F47" s="8">
        <f t="shared" si="8"/>
        <v>10197564.800000001</v>
      </c>
      <c r="G47" s="8">
        <f t="shared" si="16"/>
        <v>1912043.4</v>
      </c>
      <c r="H47" s="8">
        <f t="shared" ref="H47:H55" si="19">E47*0.05</f>
        <v>637347.80000000005</v>
      </c>
      <c r="I47" s="22" t="s">
        <v>8</v>
      </c>
      <c r="J47" s="8">
        <f>E47*1.04</f>
        <v>13256834.24</v>
      </c>
      <c r="K47" s="15" t="s">
        <v>130</v>
      </c>
      <c r="L47" s="8">
        <v>12090444</v>
      </c>
      <c r="M47" s="22">
        <v>0</v>
      </c>
      <c r="N47" s="29">
        <f>727.7*M47*1.2*1.0543</f>
        <v>0</v>
      </c>
      <c r="O47" s="22">
        <v>0</v>
      </c>
      <c r="P47" s="29">
        <f t="shared" si="15"/>
        <v>0</v>
      </c>
      <c r="Q47" s="22">
        <v>0</v>
      </c>
      <c r="R47" s="22">
        <v>0</v>
      </c>
      <c r="S47" s="22">
        <v>0</v>
      </c>
      <c r="T47" s="29">
        <f t="shared" ref="T47:T54" si="20">2186.55*1.2*1.0543*S47</f>
        <v>0</v>
      </c>
      <c r="U47" s="22">
        <v>217.7</v>
      </c>
      <c r="V47" s="29">
        <f t="shared" si="2"/>
        <v>601933.80032604001</v>
      </c>
      <c r="W47" s="22">
        <v>0</v>
      </c>
      <c r="X47" s="29">
        <f t="shared" si="12"/>
        <v>0</v>
      </c>
      <c r="Y47" s="22">
        <v>0</v>
      </c>
      <c r="Z47" s="29">
        <f t="shared" si="7"/>
        <v>0</v>
      </c>
      <c r="AB47" s="26"/>
    </row>
    <row r="48" spans="1:28" ht="31.5" x14ac:dyDescent="0.25">
      <c r="A48" s="25">
        <v>45</v>
      </c>
      <c r="B48" s="15" t="s">
        <v>84</v>
      </c>
      <c r="C48" s="21">
        <v>0.32600000000000001</v>
      </c>
      <c r="D48" s="22">
        <v>2216.8000000000002</v>
      </c>
      <c r="E48" s="7">
        <v>3228648</v>
      </c>
      <c r="F48" s="8">
        <f t="shared" si="8"/>
        <v>2582918.4000000004</v>
      </c>
      <c r="G48" s="8">
        <f t="shared" si="16"/>
        <v>484297.19999999995</v>
      </c>
      <c r="H48" s="8">
        <f t="shared" si="19"/>
        <v>161432.40000000002</v>
      </c>
      <c r="I48" s="22" t="s">
        <v>8</v>
      </c>
      <c r="J48" s="8">
        <f>E48*1.04</f>
        <v>3357793.92</v>
      </c>
      <c r="K48" s="15"/>
      <c r="L48" s="8">
        <v>3062362</v>
      </c>
      <c r="M48" s="22">
        <v>0</v>
      </c>
      <c r="N48" s="29">
        <f>973.76*M48*1.2*1.0543</f>
        <v>0</v>
      </c>
      <c r="O48" s="22">
        <v>0</v>
      </c>
      <c r="P48" s="29">
        <f t="shared" si="15"/>
        <v>0</v>
      </c>
      <c r="Q48" s="22">
        <v>0</v>
      </c>
      <c r="R48" s="22">
        <v>0</v>
      </c>
      <c r="S48" s="22">
        <v>0</v>
      </c>
      <c r="T48" s="22">
        <v>0</v>
      </c>
      <c r="U48" s="22">
        <v>59.85</v>
      </c>
      <c r="V48" s="29">
        <f t="shared" si="2"/>
        <v>165483.40812822001</v>
      </c>
      <c r="W48" s="22">
        <v>0</v>
      </c>
      <c r="X48" s="29">
        <f t="shared" si="12"/>
        <v>0</v>
      </c>
      <c r="Y48" s="22">
        <v>0</v>
      </c>
      <c r="Z48" s="29">
        <f t="shared" si="7"/>
        <v>0</v>
      </c>
      <c r="AB48" s="26"/>
    </row>
    <row r="49" spans="1:28" ht="35.25" customHeight="1" x14ac:dyDescent="0.25">
      <c r="A49" s="25">
        <v>46</v>
      </c>
      <c r="B49" s="15" t="s">
        <v>56</v>
      </c>
      <c r="C49" s="21">
        <v>0.3</v>
      </c>
      <c r="D49" s="22">
        <v>1200</v>
      </c>
      <c r="E49" s="7">
        <v>1511447</v>
      </c>
      <c r="F49" s="8">
        <f t="shared" si="8"/>
        <v>1209157.6000000001</v>
      </c>
      <c r="G49" s="8">
        <f t="shared" si="16"/>
        <v>226717.05</v>
      </c>
      <c r="H49" s="8">
        <f t="shared" si="19"/>
        <v>75572.350000000006</v>
      </c>
      <c r="I49" s="22" t="s">
        <v>8</v>
      </c>
      <c r="J49" s="8">
        <f t="shared" si="5"/>
        <v>1511447</v>
      </c>
      <c r="K49" s="15" t="s">
        <v>91</v>
      </c>
      <c r="L49" s="8">
        <v>1433601</v>
      </c>
      <c r="M49" s="22">
        <v>15.09</v>
      </c>
      <c r="N49" s="29">
        <f>780.05*M49*1.2*1.0543</f>
        <v>14892.140795219999</v>
      </c>
      <c r="O49" s="22">
        <v>0</v>
      </c>
      <c r="P49" s="22">
        <v>0</v>
      </c>
      <c r="Q49" s="22">
        <v>0</v>
      </c>
      <c r="R49" s="22">
        <v>0</v>
      </c>
      <c r="S49" s="22">
        <v>0</v>
      </c>
      <c r="T49" s="29">
        <f t="shared" si="20"/>
        <v>0</v>
      </c>
      <c r="U49" s="22">
        <v>8.75</v>
      </c>
      <c r="V49" s="29">
        <f t="shared" ref="V49:V63" si="21">2185.47*1.2*1.0543*U49</f>
        <v>24193.4807205</v>
      </c>
      <c r="W49" s="22">
        <v>0</v>
      </c>
      <c r="X49" s="29">
        <f t="shared" si="12"/>
        <v>0</v>
      </c>
      <c r="Y49" s="22">
        <v>0</v>
      </c>
      <c r="Z49" s="29">
        <f t="shared" ref="Z49:Z63" si="22">2185.47*1.2*1.0543*Y49</f>
        <v>0</v>
      </c>
      <c r="AB49" s="26"/>
    </row>
    <row r="50" spans="1:28" ht="31.5" x14ac:dyDescent="0.25">
      <c r="A50" s="25">
        <v>47</v>
      </c>
      <c r="B50" s="15" t="s">
        <v>57</v>
      </c>
      <c r="C50" s="21">
        <v>1.2410000000000001</v>
      </c>
      <c r="D50" s="22">
        <v>4964</v>
      </c>
      <c r="E50" s="7">
        <v>6585891</v>
      </c>
      <c r="F50" s="8">
        <f t="shared" si="8"/>
        <v>5268712.8000000007</v>
      </c>
      <c r="G50" s="8">
        <f t="shared" si="16"/>
        <v>987883.64999999991</v>
      </c>
      <c r="H50" s="8">
        <f t="shared" si="19"/>
        <v>329294.55000000005</v>
      </c>
      <c r="I50" s="22" t="s">
        <v>8</v>
      </c>
      <c r="J50" s="8">
        <f t="shared" si="5"/>
        <v>6585891</v>
      </c>
      <c r="K50" s="15" t="s">
        <v>107</v>
      </c>
      <c r="L50" s="8">
        <v>6246696</v>
      </c>
      <c r="M50" s="22">
        <v>150.88</v>
      </c>
      <c r="N50" s="29">
        <f>737.87*M50*1.2*1.0543</f>
        <v>140850.04215609599</v>
      </c>
      <c r="O50" s="22">
        <v>0</v>
      </c>
      <c r="P50" s="22">
        <v>0</v>
      </c>
      <c r="Q50" s="22">
        <v>0</v>
      </c>
      <c r="R50" s="22">
        <v>0</v>
      </c>
      <c r="S50" s="22">
        <v>0</v>
      </c>
      <c r="T50" s="29">
        <f t="shared" si="20"/>
        <v>0</v>
      </c>
      <c r="U50" s="22">
        <v>25</v>
      </c>
      <c r="V50" s="29">
        <f t="shared" si="21"/>
        <v>69124.230630000005</v>
      </c>
      <c r="W50" s="22">
        <v>0</v>
      </c>
      <c r="X50" s="29">
        <f t="shared" si="12"/>
        <v>0</v>
      </c>
      <c r="Y50" s="22">
        <v>0</v>
      </c>
      <c r="Z50" s="29">
        <f t="shared" si="22"/>
        <v>0</v>
      </c>
      <c r="AB50" s="26"/>
    </row>
    <row r="51" spans="1:28" ht="31.5" x14ac:dyDescent="0.25">
      <c r="A51" s="25">
        <v>48</v>
      </c>
      <c r="B51" s="15" t="s">
        <v>58</v>
      </c>
      <c r="C51" s="21">
        <v>0.59499999999999997</v>
      </c>
      <c r="D51" s="22">
        <v>3272</v>
      </c>
      <c r="E51" s="7">
        <v>4152641</v>
      </c>
      <c r="F51" s="8">
        <f t="shared" si="8"/>
        <v>3322112.8000000003</v>
      </c>
      <c r="G51" s="8">
        <f t="shared" si="16"/>
        <v>622896.15</v>
      </c>
      <c r="H51" s="8">
        <f t="shared" si="19"/>
        <v>207632.05000000002</v>
      </c>
      <c r="I51" s="22" t="s">
        <v>8</v>
      </c>
      <c r="J51" s="8">
        <f t="shared" si="5"/>
        <v>4152641</v>
      </c>
      <c r="K51" s="15" t="s">
        <v>104</v>
      </c>
      <c r="L51" s="8">
        <v>3938766</v>
      </c>
      <c r="M51" s="22">
        <v>0</v>
      </c>
      <c r="N51" s="29">
        <v>0</v>
      </c>
      <c r="O51" s="22">
        <v>12.167999999999999</v>
      </c>
      <c r="P51" s="29">
        <f>329.99*O51*1.2*1.0543</f>
        <v>5080.0201257312001</v>
      </c>
      <c r="Q51" s="22">
        <v>0</v>
      </c>
      <c r="R51" s="22">
        <v>0</v>
      </c>
      <c r="S51" s="22">
        <v>0</v>
      </c>
      <c r="T51" s="29">
        <f t="shared" si="20"/>
        <v>0</v>
      </c>
      <c r="U51" s="22">
        <v>45</v>
      </c>
      <c r="V51" s="29">
        <f t="shared" si="21"/>
        <v>124423.61513399999</v>
      </c>
      <c r="W51" s="22">
        <v>0</v>
      </c>
      <c r="X51" s="29">
        <f t="shared" si="12"/>
        <v>0</v>
      </c>
      <c r="Y51" s="22">
        <v>0</v>
      </c>
      <c r="Z51" s="29">
        <f t="shared" si="22"/>
        <v>0</v>
      </c>
      <c r="AB51" s="26"/>
    </row>
    <row r="52" spans="1:28" ht="31.5" x14ac:dyDescent="0.25">
      <c r="A52" s="25">
        <v>49</v>
      </c>
      <c r="B52" s="15" t="s">
        <v>85</v>
      </c>
      <c r="C52" s="21">
        <v>0.61499999999999999</v>
      </c>
      <c r="D52" s="22">
        <v>7687.5</v>
      </c>
      <c r="E52" s="7">
        <v>11418624</v>
      </c>
      <c r="F52" s="8">
        <f t="shared" ref="F52:F66" si="23">E52*0.8</f>
        <v>9134899.2000000011</v>
      </c>
      <c r="G52" s="8">
        <f t="shared" si="16"/>
        <v>1712793.5999999999</v>
      </c>
      <c r="H52" s="8">
        <f t="shared" si="19"/>
        <v>570931.20000000007</v>
      </c>
      <c r="I52" s="22" t="s">
        <v>8</v>
      </c>
      <c r="J52" s="8">
        <f>E52*1.04</f>
        <v>11875368.960000001</v>
      </c>
      <c r="K52" s="15"/>
      <c r="L52" s="8">
        <v>10830525</v>
      </c>
      <c r="M52" s="22">
        <v>0</v>
      </c>
      <c r="N52" s="22">
        <v>0</v>
      </c>
      <c r="O52" s="22">
        <v>0</v>
      </c>
      <c r="P52" s="22">
        <v>0</v>
      </c>
      <c r="Q52" s="22">
        <v>0</v>
      </c>
      <c r="R52" s="22">
        <v>0</v>
      </c>
      <c r="S52" s="22">
        <v>0</v>
      </c>
      <c r="T52" s="29">
        <f t="shared" si="20"/>
        <v>0</v>
      </c>
      <c r="U52" s="22">
        <v>207.5</v>
      </c>
      <c r="V52" s="29">
        <f t="shared" si="21"/>
        <v>573731.11422899994</v>
      </c>
      <c r="W52" s="22">
        <v>0</v>
      </c>
      <c r="X52" s="29">
        <f t="shared" si="12"/>
        <v>0</v>
      </c>
      <c r="Y52" s="22">
        <v>0</v>
      </c>
      <c r="Z52" s="29">
        <f t="shared" si="22"/>
        <v>0</v>
      </c>
      <c r="AB52" s="26"/>
    </row>
    <row r="53" spans="1:28" ht="31.5" x14ac:dyDescent="0.25">
      <c r="A53" s="25">
        <v>50</v>
      </c>
      <c r="B53" s="15" t="s">
        <v>88</v>
      </c>
      <c r="C53" s="21">
        <v>1.0720000000000001</v>
      </c>
      <c r="D53" s="22">
        <v>11000</v>
      </c>
      <c r="E53" s="7">
        <v>16758199</v>
      </c>
      <c r="F53" s="8">
        <f t="shared" si="23"/>
        <v>13406559.200000001</v>
      </c>
      <c r="G53" s="8">
        <f t="shared" si="16"/>
        <v>2513729.85</v>
      </c>
      <c r="H53" s="8">
        <f t="shared" si="19"/>
        <v>837909.95000000007</v>
      </c>
      <c r="I53" s="22" t="s">
        <v>8</v>
      </c>
      <c r="J53" s="8">
        <f>E53*1.04</f>
        <v>17428526.960000001</v>
      </c>
      <c r="K53" s="15"/>
      <c r="L53" s="8">
        <v>15895095</v>
      </c>
      <c r="M53" s="22">
        <f>30.18+1.76</f>
        <v>31.94</v>
      </c>
      <c r="N53" s="29">
        <f>758.71*M53*1.2*1.0543</f>
        <v>30658.872022584001</v>
      </c>
      <c r="O53" s="22">
        <v>0</v>
      </c>
      <c r="P53" s="22">
        <v>0</v>
      </c>
      <c r="Q53" s="22">
        <v>0</v>
      </c>
      <c r="R53" s="22">
        <v>0</v>
      </c>
      <c r="S53" s="22">
        <v>0</v>
      </c>
      <c r="T53" s="29">
        <f t="shared" si="20"/>
        <v>0</v>
      </c>
      <c r="U53" s="22">
        <v>150</v>
      </c>
      <c r="V53" s="29">
        <f t="shared" si="21"/>
        <v>414745.38377999997</v>
      </c>
      <c r="W53" s="22">
        <v>0</v>
      </c>
      <c r="X53" s="29">
        <f t="shared" si="12"/>
        <v>0</v>
      </c>
      <c r="Y53" s="22">
        <v>4.12</v>
      </c>
      <c r="Z53" s="29">
        <f t="shared" si="22"/>
        <v>11391.673207824</v>
      </c>
      <c r="AB53" s="26"/>
    </row>
    <row r="54" spans="1:28" ht="31.5" x14ac:dyDescent="0.25">
      <c r="A54" s="25">
        <v>51</v>
      </c>
      <c r="B54" s="15" t="s">
        <v>89</v>
      </c>
      <c r="C54" s="21">
        <v>2.23</v>
      </c>
      <c r="D54" s="22">
        <v>16700</v>
      </c>
      <c r="E54" s="7">
        <v>21137751</v>
      </c>
      <c r="F54" s="8">
        <f t="shared" si="23"/>
        <v>16910200.800000001</v>
      </c>
      <c r="G54" s="8">
        <f t="shared" si="16"/>
        <v>3170662.65</v>
      </c>
      <c r="H54" s="8">
        <f t="shared" si="19"/>
        <v>1056887.55</v>
      </c>
      <c r="I54" s="22" t="s">
        <v>8</v>
      </c>
      <c r="J54" s="8">
        <f>E54*1.04</f>
        <v>21983261.039999999</v>
      </c>
      <c r="K54" s="15"/>
      <c r="L54" s="8">
        <v>20049085</v>
      </c>
      <c r="M54" s="22">
        <f>75.44+2.2</f>
        <v>77.64</v>
      </c>
      <c r="N54" s="29">
        <f>769.39*M54*1.2*1.0543</f>
        <v>75574.888764335992</v>
      </c>
      <c r="O54" s="22">
        <v>0</v>
      </c>
      <c r="P54" s="22">
        <v>0</v>
      </c>
      <c r="Q54" s="22">
        <v>0</v>
      </c>
      <c r="R54" s="22">
        <v>0</v>
      </c>
      <c r="S54" s="22">
        <v>1080</v>
      </c>
      <c r="T54" s="29">
        <f t="shared" si="20"/>
        <v>2987642.4458400002</v>
      </c>
      <c r="U54" s="22">
        <v>125</v>
      </c>
      <c r="V54" s="29">
        <f t="shared" si="21"/>
        <v>345621.15314999997</v>
      </c>
      <c r="W54" s="22">
        <v>0</v>
      </c>
      <c r="X54" s="29">
        <f t="shared" si="12"/>
        <v>0</v>
      </c>
      <c r="Y54" s="22">
        <v>5.15</v>
      </c>
      <c r="Z54" s="29">
        <f t="shared" si="22"/>
        <v>14239.591509780001</v>
      </c>
      <c r="AB54" s="26"/>
    </row>
    <row r="55" spans="1:28" ht="119.25" customHeight="1" x14ac:dyDescent="0.25">
      <c r="A55" s="25">
        <v>52</v>
      </c>
      <c r="B55" s="15" t="s">
        <v>55</v>
      </c>
      <c r="C55" s="21">
        <v>1.929</v>
      </c>
      <c r="D55" s="22">
        <v>9645</v>
      </c>
      <c r="E55" s="7">
        <v>11266823</v>
      </c>
      <c r="F55" s="8">
        <f t="shared" si="23"/>
        <v>9013458.4000000004</v>
      </c>
      <c r="G55" s="8">
        <f t="shared" si="16"/>
        <v>1690023.45</v>
      </c>
      <c r="H55" s="8">
        <f t="shared" si="19"/>
        <v>563341.15</v>
      </c>
      <c r="I55" s="22" t="s">
        <v>8</v>
      </c>
      <c r="J55" s="8">
        <f>E55*1.04</f>
        <v>11717495.92</v>
      </c>
      <c r="K55" s="15" t="s">
        <v>106</v>
      </c>
      <c r="L55" s="8">
        <v>10686544</v>
      </c>
      <c r="M55" s="22">
        <v>115.05</v>
      </c>
      <c r="N55" s="29">
        <f>938.06*M55*1.2*1.0543</f>
        <v>136540.87860347997</v>
      </c>
      <c r="O55" s="22">
        <v>37.44</v>
      </c>
      <c r="P55" s="29">
        <f>321.35*O55*1.2*1.0543</f>
        <v>15221.575175040001</v>
      </c>
      <c r="Q55" s="22">
        <v>0</v>
      </c>
      <c r="R55" s="22">
        <v>0</v>
      </c>
      <c r="S55" s="22">
        <v>0</v>
      </c>
      <c r="T55" s="22">
        <v>0</v>
      </c>
      <c r="U55" s="22">
        <v>82.8</v>
      </c>
      <c r="V55" s="29">
        <f t="shared" si="21"/>
        <v>228939.45184656</v>
      </c>
      <c r="W55" s="22">
        <v>0</v>
      </c>
      <c r="X55" s="29">
        <f t="shared" si="12"/>
        <v>0</v>
      </c>
      <c r="Y55" s="22">
        <v>0</v>
      </c>
      <c r="Z55" s="29">
        <f t="shared" si="22"/>
        <v>0</v>
      </c>
      <c r="AB55" s="26"/>
    </row>
    <row r="56" spans="1:28" ht="231.75" customHeight="1" x14ac:dyDescent="0.25">
      <c r="A56" s="25">
        <v>53</v>
      </c>
      <c r="B56" s="15" t="s">
        <v>54</v>
      </c>
      <c r="C56" s="21">
        <v>5.8</v>
      </c>
      <c r="D56" s="22">
        <v>33500</v>
      </c>
      <c r="E56" s="7">
        <v>41312753</v>
      </c>
      <c r="F56" s="8">
        <f t="shared" si="23"/>
        <v>33050202.400000002</v>
      </c>
      <c r="G56" s="8">
        <f t="shared" si="16"/>
        <v>6196912.9500000002</v>
      </c>
      <c r="H56" s="8">
        <f t="shared" ref="H56:H57" si="24">E56*0.05</f>
        <v>2065637.6500000001</v>
      </c>
      <c r="I56" s="22" t="s">
        <v>8</v>
      </c>
      <c r="J56" s="8">
        <f>E56*1.04</f>
        <v>42965263.120000005</v>
      </c>
      <c r="K56" s="15" t="s">
        <v>105</v>
      </c>
      <c r="L56" s="8">
        <v>39185007</v>
      </c>
      <c r="M56" s="22">
        <v>848.68</v>
      </c>
      <c r="N56" s="29">
        <f>949.96*M56*1.2*1.0543</f>
        <v>1019987.240720448</v>
      </c>
      <c r="O56" s="22">
        <v>468</v>
      </c>
      <c r="P56" s="29">
        <f>329.99*O56*1.2*1.0543</f>
        <v>195385.3894512</v>
      </c>
      <c r="Q56" s="22">
        <v>0</v>
      </c>
      <c r="R56" s="22">
        <v>0</v>
      </c>
      <c r="S56" s="22">
        <v>0</v>
      </c>
      <c r="T56" s="22">
        <v>0</v>
      </c>
      <c r="U56" s="22">
        <v>229.5</v>
      </c>
      <c r="V56" s="29">
        <f t="shared" si="21"/>
        <v>634560.43718340003</v>
      </c>
      <c r="W56" s="22"/>
      <c r="X56" s="29">
        <f t="shared" si="12"/>
        <v>0</v>
      </c>
      <c r="Y56" s="22"/>
      <c r="Z56" s="29">
        <f t="shared" si="22"/>
        <v>0</v>
      </c>
      <c r="AB56" s="26"/>
    </row>
    <row r="57" spans="1:28" ht="117.75" customHeight="1" x14ac:dyDescent="0.25">
      <c r="A57" s="25">
        <v>54</v>
      </c>
      <c r="B57" s="15" t="s">
        <v>23</v>
      </c>
      <c r="C57" s="21">
        <v>1.8737600000000001</v>
      </c>
      <c r="D57" s="22">
        <v>10872</v>
      </c>
      <c r="E57" s="7">
        <v>79366932</v>
      </c>
      <c r="F57" s="8">
        <f t="shared" si="23"/>
        <v>63493545.600000001</v>
      </c>
      <c r="G57" s="8">
        <f t="shared" si="16"/>
        <v>11905039.799999999</v>
      </c>
      <c r="H57" s="8">
        <f t="shared" si="24"/>
        <v>3968346.6</v>
      </c>
      <c r="I57" s="22" t="s">
        <v>8</v>
      </c>
      <c r="J57" s="8">
        <f t="shared" si="5"/>
        <v>79366932</v>
      </c>
      <c r="K57" s="15" t="s">
        <v>106</v>
      </c>
      <c r="L57" s="8">
        <v>75279268</v>
      </c>
      <c r="M57" s="22">
        <v>0</v>
      </c>
      <c r="N57" s="22">
        <v>0</v>
      </c>
      <c r="O57" s="22">
        <v>0</v>
      </c>
      <c r="P57" s="22">
        <v>0</v>
      </c>
      <c r="Q57" s="22">
        <v>0</v>
      </c>
      <c r="R57" s="22">
        <v>0</v>
      </c>
      <c r="S57" s="22">
        <v>0</v>
      </c>
      <c r="T57" s="22">
        <v>0</v>
      </c>
      <c r="U57" s="22">
        <v>0</v>
      </c>
      <c r="V57" s="29">
        <f t="shared" si="21"/>
        <v>0</v>
      </c>
      <c r="W57" s="22">
        <v>0</v>
      </c>
      <c r="X57" s="29">
        <f t="shared" si="12"/>
        <v>0</v>
      </c>
      <c r="Y57" s="22">
        <v>0</v>
      </c>
      <c r="Z57" s="29">
        <f t="shared" si="22"/>
        <v>0</v>
      </c>
      <c r="AB57" s="26"/>
    </row>
    <row r="58" spans="1:28" ht="128.25" customHeight="1" x14ac:dyDescent="0.25">
      <c r="A58" s="25">
        <v>55</v>
      </c>
      <c r="B58" s="15" t="s">
        <v>44</v>
      </c>
      <c r="C58" s="21">
        <v>2.2000000000000002</v>
      </c>
      <c r="D58" s="22">
        <v>8360</v>
      </c>
      <c r="E58" s="7">
        <v>16009618</v>
      </c>
      <c r="F58" s="8">
        <f t="shared" si="23"/>
        <v>12807694.4</v>
      </c>
      <c r="G58" s="8">
        <f t="shared" si="16"/>
        <v>2401442.6999999997</v>
      </c>
      <c r="H58" s="8">
        <f t="shared" ref="H58" si="25">E58*0.05</f>
        <v>800480.9</v>
      </c>
      <c r="I58" s="22" t="s">
        <v>8</v>
      </c>
      <c r="J58" s="8">
        <f>E58*1.04</f>
        <v>16650002.720000001</v>
      </c>
      <c r="K58" s="15" t="s">
        <v>109</v>
      </c>
      <c r="L58" s="8">
        <v>15185070</v>
      </c>
      <c r="M58" s="22">
        <v>697.8</v>
      </c>
      <c r="N58" s="29">
        <f>588.09*M58*1.2*1.0543</f>
        <v>519182.69960231998</v>
      </c>
      <c r="O58" s="22">
        <v>0</v>
      </c>
      <c r="P58" s="22">
        <v>0</v>
      </c>
      <c r="Q58" s="22">
        <v>9.8000000000000007</v>
      </c>
      <c r="R58" s="29">
        <f>14273.13*Q58*1.2*1.0543</f>
        <v>176966.37287783998</v>
      </c>
      <c r="S58" s="22">
        <v>0</v>
      </c>
      <c r="T58" s="22">
        <v>0</v>
      </c>
      <c r="U58" s="22">
        <v>37.5</v>
      </c>
      <c r="V58" s="29">
        <f t="shared" si="21"/>
        <v>103686.34594499999</v>
      </c>
      <c r="W58" s="22">
        <v>0</v>
      </c>
      <c r="X58" s="29">
        <f t="shared" si="12"/>
        <v>0</v>
      </c>
      <c r="Y58" s="22">
        <v>0</v>
      </c>
      <c r="Z58" s="29">
        <f t="shared" si="22"/>
        <v>0</v>
      </c>
      <c r="AB58" s="26"/>
    </row>
    <row r="59" spans="1:28" ht="68.25" customHeight="1" x14ac:dyDescent="0.25">
      <c r="A59" s="25">
        <v>56</v>
      </c>
      <c r="B59" s="15" t="s">
        <v>24</v>
      </c>
      <c r="C59" s="21">
        <v>0.48499999999999999</v>
      </c>
      <c r="D59" s="22">
        <v>2823</v>
      </c>
      <c r="E59" s="7">
        <v>3267355</v>
      </c>
      <c r="F59" s="8">
        <f t="shared" si="23"/>
        <v>2613884</v>
      </c>
      <c r="G59" s="8">
        <f t="shared" si="16"/>
        <v>490103.25</v>
      </c>
      <c r="H59" s="8">
        <f t="shared" ref="H59" si="26">E59*0.05</f>
        <v>163367.75</v>
      </c>
      <c r="I59" s="22" t="s">
        <v>8</v>
      </c>
      <c r="J59" s="8">
        <f>E59*1.04</f>
        <v>3398049.2</v>
      </c>
      <c r="K59" s="34" t="s">
        <v>102</v>
      </c>
      <c r="L59" s="8">
        <v>3099076</v>
      </c>
      <c r="M59" s="22">
        <v>9.43</v>
      </c>
      <c r="N59" s="29">
        <f>902.35*M59*1.2*1.0543</f>
        <v>10765.44949818</v>
      </c>
      <c r="O59" s="22">
        <v>23.4</v>
      </c>
      <c r="P59" s="29">
        <f>295.459*O59*1.2*1.0543</f>
        <v>8746.9880574959989</v>
      </c>
      <c r="Q59" s="22">
        <v>0</v>
      </c>
      <c r="R59" s="22">
        <v>0</v>
      </c>
      <c r="S59" s="22">
        <v>0</v>
      </c>
      <c r="T59" s="22">
        <v>0</v>
      </c>
      <c r="U59" s="22">
        <v>28.8</v>
      </c>
      <c r="V59" s="29">
        <f t="shared" si="21"/>
        <v>79631.113685760007</v>
      </c>
      <c r="W59" s="22">
        <v>0</v>
      </c>
      <c r="X59" s="29">
        <f t="shared" si="12"/>
        <v>0</v>
      </c>
      <c r="Y59" s="22">
        <v>0</v>
      </c>
      <c r="Z59" s="29">
        <f t="shared" si="22"/>
        <v>0</v>
      </c>
      <c r="AB59" s="26"/>
    </row>
    <row r="60" spans="1:28" ht="52.5" customHeight="1" x14ac:dyDescent="0.25">
      <c r="A60" s="25">
        <v>57</v>
      </c>
      <c r="B60" s="15" t="s">
        <v>53</v>
      </c>
      <c r="C60" s="21">
        <v>2.5169999999999999</v>
      </c>
      <c r="D60" s="22">
        <v>20388</v>
      </c>
      <c r="E60" s="7">
        <v>31554464</v>
      </c>
      <c r="F60" s="8">
        <f t="shared" si="23"/>
        <v>25243571.200000003</v>
      </c>
      <c r="G60" s="8">
        <f t="shared" si="16"/>
        <v>4733169.5999999996</v>
      </c>
      <c r="H60" s="8">
        <f t="shared" ref="H60" si="27">E60*0.05</f>
        <v>1577723.2000000002</v>
      </c>
      <c r="I60" s="22" t="s">
        <v>8</v>
      </c>
      <c r="J60" s="8">
        <f>E60*1.04</f>
        <v>32816642.560000002</v>
      </c>
      <c r="K60" s="15" t="s">
        <v>103</v>
      </c>
      <c r="L60" s="8">
        <v>29929303</v>
      </c>
      <c r="M60" s="22">
        <f>36.89+82.15</f>
        <v>119.04</v>
      </c>
      <c r="N60" s="29">
        <f>973.76*M60*1.2*1.0543</f>
        <v>146652.780478464</v>
      </c>
      <c r="O60" s="22">
        <v>0</v>
      </c>
      <c r="P60" s="22">
        <v>0</v>
      </c>
      <c r="Q60" s="22">
        <v>0</v>
      </c>
      <c r="R60" s="22">
        <v>0</v>
      </c>
      <c r="S60" s="22">
        <v>0</v>
      </c>
      <c r="T60" s="22">
        <v>0</v>
      </c>
      <c r="U60" s="22">
        <f>288+91.541</f>
        <v>379.541</v>
      </c>
      <c r="V60" s="29">
        <f t="shared" si="21"/>
        <v>1049419.1847016332</v>
      </c>
      <c r="W60" s="22">
        <v>0</v>
      </c>
      <c r="X60" s="29">
        <f t="shared" si="12"/>
        <v>0</v>
      </c>
      <c r="Y60" s="22">
        <v>170.16300000000001</v>
      </c>
      <c r="Z60" s="29">
        <f t="shared" si="22"/>
        <v>470495.45826770761</v>
      </c>
      <c r="AB60" s="26"/>
    </row>
    <row r="61" spans="1:28" ht="72" customHeight="1" x14ac:dyDescent="0.25">
      <c r="A61" s="25">
        <v>58</v>
      </c>
      <c r="B61" s="15" t="s">
        <v>32</v>
      </c>
      <c r="C61" s="21">
        <v>1.0860000000000001</v>
      </c>
      <c r="D61" s="22">
        <v>9991</v>
      </c>
      <c r="E61" s="7">
        <v>25243872</v>
      </c>
      <c r="F61" s="8">
        <f t="shared" si="23"/>
        <v>20195097.600000001</v>
      </c>
      <c r="G61" s="8">
        <f t="shared" si="16"/>
        <v>3786580.8</v>
      </c>
      <c r="H61" s="8">
        <f t="shared" ref="H61" si="28">E61*0.05</f>
        <v>1262193.6000000001</v>
      </c>
      <c r="I61" s="22" t="s">
        <v>8</v>
      </c>
      <c r="J61" s="8">
        <f>E61*1.04</f>
        <v>26253626.880000003</v>
      </c>
      <c r="K61" s="34" t="s">
        <v>96</v>
      </c>
      <c r="L61" s="8">
        <v>23943728</v>
      </c>
      <c r="M61" s="22">
        <v>65.510000000000005</v>
      </c>
      <c r="N61" s="29">
        <f>949.96*M61*1.2*1.0543</f>
        <v>78733.284794736013</v>
      </c>
      <c r="O61" s="22">
        <v>935.1576</v>
      </c>
      <c r="P61" s="29">
        <f>329.99*O61*1.2*1.0543</f>
        <v>390419.08520138782</v>
      </c>
      <c r="Q61" s="22">
        <v>0</v>
      </c>
      <c r="R61" s="22">
        <v>0</v>
      </c>
      <c r="S61" s="22">
        <v>0</v>
      </c>
      <c r="T61" s="22">
        <v>0</v>
      </c>
      <c r="U61" s="22">
        <v>0</v>
      </c>
      <c r="V61" s="29">
        <v>0</v>
      </c>
      <c r="W61" s="22">
        <v>0</v>
      </c>
      <c r="X61" s="29">
        <f t="shared" si="12"/>
        <v>0</v>
      </c>
      <c r="Y61" s="22">
        <v>130.38</v>
      </c>
      <c r="Z61" s="29">
        <f t="shared" si="22"/>
        <v>360496.687581576</v>
      </c>
      <c r="AB61" s="26"/>
    </row>
    <row r="62" spans="1:28" ht="33" customHeight="1" x14ac:dyDescent="0.25">
      <c r="A62" s="25">
        <v>59</v>
      </c>
      <c r="B62" s="15" t="s">
        <v>80</v>
      </c>
      <c r="C62" s="21">
        <v>1.1000000000000001</v>
      </c>
      <c r="D62" s="22">
        <v>10450</v>
      </c>
      <c r="E62" s="7">
        <v>10120909</v>
      </c>
      <c r="F62" s="8">
        <f t="shared" si="23"/>
        <v>8096727.2000000002</v>
      </c>
      <c r="G62" s="8">
        <f t="shared" si="16"/>
        <v>1518136.3499999999</v>
      </c>
      <c r="H62" s="8">
        <f t="shared" ref="H62" si="29">E62*0.05</f>
        <v>506045.45</v>
      </c>
      <c r="I62" s="22" t="s">
        <v>8</v>
      </c>
      <c r="J62" s="8">
        <f>E62*1.04</f>
        <v>10525745.360000001</v>
      </c>
      <c r="K62" s="15" t="s">
        <v>131</v>
      </c>
      <c r="L62" s="8">
        <v>9599649</v>
      </c>
      <c r="M62" s="22">
        <v>0</v>
      </c>
      <c r="N62" s="29">
        <f>997.57*M62*1.2*1.0543</f>
        <v>0</v>
      </c>
      <c r="O62" s="22">
        <v>948.63599999999997</v>
      </c>
      <c r="P62" s="29">
        <f>355.91*O62*1.2*1.0543</f>
        <v>427154.75467760162</v>
      </c>
      <c r="Q62" s="22">
        <v>0</v>
      </c>
      <c r="R62" s="22">
        <v>0</v>
      </c>
      <c r="S62" s="22">
        <v>0</v>
      </c>
      <c r="T62" s="29">
        <f t="shared" ref="T62" si="30">2186.55*1.2*1.0543*S62</f>
        <v>0</v>
      </c>
      <c r="U62" s="22">
        <v>28.35</v>
      </c>
      <c r="V62" s="29">
        <f t="shared" si="21"/>
        <v>78386.877534419997</v>
      </c>
      <c r="W62" s="22">
        <v>0</v>
      </c>
      <c r="X62" s="29">
        <f t="shared" si="12"/>
        <v>0</v>
      </c>
      <c r="Y62" s="22">
        <v>0</v>
      </c>
      <c r="Z62" s="29">
        <f t="shared" si="22"/>
        <v>0</v>
      </c>
      <c r="AB62" s="26"/>
    </row>
    <row r="63" spans="1:28" ht="33.75" customHeight="1" x14ac:dyDescent="0.25">
      <c r="A63" s="25">
        <v>60</v>
      </c>
      <c r="B63" s="15" t="s">
        <v>59</v>
      </c>
      <c r="C63" s="21">
        <v>0.9</v>
      </c>
      <c r="D63" s="22">
        <v>4600</v>
      </c>
      <c r="E63" s="7">
        <v>6470200</v>
      </c>
      <c r="F63" s="8">
        <f t="shared" si="23"/>
        <v>5176160</v>
      </c>
      <c r="G63" s="8">
        <f t="shared" si="16"/>
        <v>970530</v>
      </c>
      <c r="H63" s="8">
        <f t="shared" ref="H63" si="31">E63*0.05</f>
        <v>323510</v>
      </c>
      <c r="I63" s="22" t="s">
        <v>8</v>
      </c>
      <c r="J63" s="8">
        <f t="shared" si="5"/>
        <v>6470200</v>
      </c>
      <c r="K63" s="34" t="s">
        <v>95</v>
      </c>
      <c r="L63" s="8">
        <v>6136962</v>
      </c>
      <c r="M63" s="22">
        <v>264.02999999999997</v>
      </c>
      <c r="N63" s="29">
        <f>926.16*M63*1.2*1.0543</f>
        <v>309374.66681596794</v>
      </c>
      <c r="O63" s="22">
        <v>28.08</v>
      </c>
      <c r="P63" s="29">
        <f>312.71*O63*1.2*1.0543</f>
        <v>11109.239395487999</v>
      </c>
      <c r="Q63" s="22">
        <v>0</v>
      </c>
      <c r="R63" s="22">
        <v>0</v>
      </c>
      <c r="S63" s="22">
        <v>0</v>
      </c>
      <c r="T63" s="22">
        <v>0</v>
      </c>
      <c r="U63" s="22">
        <v>31.5</v>
      </c>
      <c r="V63" s="29">
        <f t="shared" si="21"/>
        <v>87096.530593799995</v>
      </c>
      <c r="W63" s="22">
        <v>0</v>
      </c>
      <c r="X63" s="29">
        <f t="shared" si="12"/>
        <v>0</v>
      </c>
      <c r="Y63" s="22">
        <v>0</v>
      </c>
      <c r="Z63" s="29">
        <f t="shared" si="22"/>
        <v>0</v>
      </c>
      <c r="AB63" s="26"/>
    </row>
    <row r="64" spans="1:28" ht="31.5" x14ac:dyDescent="0.25">
      <c r="A64" s="25">
        <v>61</v>
      </c>
      <c r="B64" s="15" t="s">
        <v>71</v>
      </c>
      <c r="C64" s="21">
        <v>0.27</v>
      </c>
      <c r="D64" s="22">
        <v>1350</v>
      </c>
      <c r="E64" s="7">
        <v>2780097</v>
      </c>
      <c r="F64" s="8">
        <f t="shared" si="23"/>
        <v>2224077.6</v>
      </c>
      <c r="G64" s="8">
        <f t="shared" si="16"/>
        <v>417014.55</v>
      </c>
      <c r="H64" s="8">
        <f>E64*0.05</f>
        <v>139004.85</v>
      </c>
      <c r="I64" s="22" t="s">
        <v>8</v>
      </c>
      <c r="J64" s="8">
        <f t="shared" si="5"/>
        <v>2780097</v>
      </c>
      <c r="K64" s="15"/>
      <c r="L64" s="8">
        <v>2636913</v>
      </c>
      <c r="M64" s="22">
        <v>35.840000000000003</v>
      </c>
      <c r="N64" s="29">
        <f>447.27*M64*1.2*1.0543</f>
        <v>20280.713177088001</v>
      </c>
      <c r="O64" s="22">
        <v>60.84</v>
      </c>
      <c r="P64" s="29">
        <f>564.82*O64*1.2*1.0543</f>
        <v>43475.513915808006</v>
      </c>
      <c r="Q64" s="22"/>
      <c r="R64" s="22"/>
      <c r="S64" s="22"/>
      <c r="T64" s="29">
        <f>2186.55*1.2*1.0543*S64</f>
        <v>0</v>
      </c>
      <c r="U64" s="22">
        <v>63</v>
      </c>
      <c r="V64" s="29">
        <f>2185.47*1.2*1.0543*U64</f>
        <v>174193.06118759999</v>
      </c>
      <c r="W64" s="22"/>
      <c r="X64" s="29">
        <f>2185.47*1.2*1.0543*W64</f>
        <v>0</v>
      </c>
      <c r="Y64" s="22"/>
      <c r="Z64" s="29">
        <f>2185.47*1.2*1.0543*Y64</f>
        <v>0</v>
      </c>
      <c r="AB64" s="26"/>
    </row>
    <row r="65" spans="1:28" ht="39" customHeight="1" x14ac:dyDescent="0.25">
      <c r="A65" s="25">
        <v>62</v>
      </c>
      <c r="B65" s="15" t="s">
        <v>72</v>
      </c>
      <c r="C65" s="21">
        <v>0.2</v>
      </c>
      <c r="D65" s="22">
        <v>1000</v>
      </c>
      <c r="E65" s="7">
        <v>2293945</v>
      </c>
      <c r="F65" s="8">
        <f t="shared" si="23"/>
        <v>1835156</v>
      </c>
      <c r="G65" s="8">
        <f t="shared" si="16"/>
        <v>344091.75</v>
      </c>
      <c r="H65" s="8">
        <f>E65*0.05</f>
        <v>114697.25</v>
      </c>
      <c r="I65" s="22" t="s">
        <v>8</v>
      </c>
      <c r="J65" s="8">
        <f t="shared" si="5"/>
        <v>2293945</v>
      </c>
      <c r="K65" s="15" t="s">
        <v>132</v>
      </c>
      <c r="L65" s="8">
        <v>2175799</v>
      </c>
      <c r="M65" s="22">
        <v>64.12</v>
      </c>
      <c r="N65" s="29">
        <f>456.21*M65*1.2*1.0543</f>
        <v>37008.694627631994</v>
      </c>
      <c r="O65" s="22">
        <v>37.44</v>
      </c>
      <c r="P65" s="29">
        <f>564.82*O65*1.2*1.0543</f>
        <v>26754.162409728</v>
      </c>
      <c r="Q65" s="22"/>
      <c r="R65" s="22"/>
      <c r="S65" s="22"/>
      <c r="T65" s="29">
        <f>2186.55*1.2*1.0543*S65</f>
        <v>0</v>
      </c>
      <c r="U65" s="22">
        <v>43.2</v>
      </c>
      <c r="V65" s="29">
        <f>2185.47*1.2*1.0543*U65</f>
        <v>119446.67052864001</v>
      </c>
      <c r="W65" s="22"/>
      <c r="X65" s="29">
        <f>2185.47*1.2*1.0543*W65</f>
        <v>0</v>
      </c>
      <c r="Y65" s="22"/>
      <c r="Z65" s="29">
        <f>2185.47*1.2*1.0543*Y65</f>
        <v>0</v>
      </c>
      <c r="AB65" s="26"/>
    </row>
    <row r="66" spans="1:28" ht="69" customHeight="1" x14ac:dyDescent="0.25">
      <c r="A66" s="25">
        <v>63</v>
      </c>
      <c r="B66" s="15" t="s">
        <v>78</v>
      </c>
      <c r="C66" s="21">
        <v>1.5</v>
      </c>
      <c r="D66" s="22">
        <v>12000</v>
      </c>
      <c r="E66" s="7">
        <v>11981056</v>
      </c>
      <c r="F66" s="8">
        <f t="shared" si="23"/>
        <v>9584844.8000000007</v>
      </c>
      <c r="G66" s="8">
        <f t="shared" si="16"/>
        <v>1797158.4</v>
      </c>
      <c r="H66" s="8">
        <f>E66*0.05</f>
        <v>599052.80000000005</v>
      </c>
      <c r="I66" s="22" t="s">
        <v>8</v>
      </c>
      <c r="J66" s="8">
        <f>E66*1.04</f>
        <v>12460298.24</v>
      </c>
      <c r="K66" s="15" t="s">
        <v>133</v>
      </c>
      <c r="L66" s="8">
        <v>11363990</v>
      </c>
      <c r="M66" s="22">
        <v>1.1100000000000001</v>
      </c>
      <c r="N66" s="29">
        <f>530.63*M66*1.2*1.0543</f>
        <v>745.178354388</v>
      </c>
      <c r="O66" s="22">
        <v>1123.2</v>
      </c>
      <c r="P66" s="29">
        <f>25.58*O66*1.2*1.0543</f>
        <v>36349.88887296</v>
      </c>
      <c r="Q66" s="22"/>
      <c r="R66" s="22"/>
      <c r="S66" s="22"/>
      <c r="T66" s="29">
        <f>2186.55*1.2*1.0543*S66</f>
        <v>0</v>
      </c>
      <c r="U66" s="22"/>
      <c r="V66" s="29">
        <f>2185.47*1.2*1.0543*U66</f>
        <v>0</v>
      </c>
      <c r="W66" s="22"/>
      <c r="X66" s="29">
        <f>2185.47*1.2*1.0543*W66</f>
        <v>0</v>
      </c>
      <c r="Y66" s="22">
        <v>2.5750000000000002</v>
      </c>
      <c r="Z66" s="29">
        <f>2185.47*1.2*1.0543*Y66</f>
        <v>7119.7957548900004</v>
      </c>
      <c r="AB66" s="26"/>
    </row>
    <row r="67" spans="1:28" x14ac:dyDescent="0.25">
      <c r="A67" s="31"/>
      <c r="B67" s="15"/>
      <c r="C67" s="19">
        <f t="shared" ref="C67:J67" si="32">SUM(C4:C66)</f>
        <v>83.625759999999985</v>
      </c>
      <c r="D67" s="14">
        <f t="shared" si="32"/>
        <v>547888.19999999995</v>
      </c>
      <c r="E67" s="14">
        <f t="shared" si="32"/>
        <v>829999999</v>
      </c>
      <c r="F67" s="14">
        <f t="shared" si="32"/>
        <v>663525350.35000014</v>
      </c>
      <c r="G67" s="14">
        <f t="shared" si="32"/>
        <v>124499999.85000001</v>
      </c>
      <c r="H67" s="14">
        <f t="shared" si="32"/>
        <v>41499999.95000001</v>
      </c>
      <c r="I67" s="7"/>
      <c r="J67" s="14">
        <f t="shared" si="32"/>
        <v>851291694.56000018</v>
      </c>
      <c r="K67" s="7"/>
      <c r="L67" s="7">
        <f t="shared" ref="L67" si="33">SUM(L4:L66)</f>
        <v>787252200</v>
      </c>
      <c r="M67" s="7">
        <f t="shared" ref="M67" si="34">SUM(M4:M66)</f>
        <v>8007.9999999999991</v>
      </c>
      <c r="N67" s="7">
        <f t="shared" ref="N67" si="35">SUM(N4:N66)</f>
        <v>7624780.2227076478</v>
      </c>
      <c r="O67" s="7">
        <f t="shared" ref="O67" si="36">SUM(O4:O66)</f>
        <v>14219.219200000001</v>
      </c>
      <c r="P67" s="7">
        <f t="shared" ref="P67" si="37">SUM(P4:P66)</f>
        <v>5488524.8634328954</v>
      </c>
      <c r="Q67" s="7">
        <f t="shared" ref="Q67" si="38">SUM(Q4:Q66)</f>
        <v>16.451799999999999</v>
      </c>
      <c r="R67" s="7">
        <f t="shared" ref="R67" si="39">SUM(R4:R66)</f>
        <v>287424.73051969556</v>
      </c>
      <c r="S67" s="7">
        <f t="shared" ref="S67" si="40">SUM(S4:S66)</f>
        <v>2629.3199999999997</v>
      </c>
      <c r="T67" s="7">
        <f t="shared" ref="T67" si="41">SUM(T4:T66)</f>
        <v>7273581.5145333605</v>
      </c>
      <c r="U67" s="7">
        <f t="shared" ref="U67" si="42">SUM(U4:U66)</f>
        <v>6072.3228000000008</v>
      </c>
      <c r="V67" s="7">
        <f t="shared" ref="V67" si="43">SUM(V4:V66)</f>
        <v>16789785.667480301</v>
      </c>
      <c r="W67" s="7">
        <f t="shared" ref="W67" si="44">SUM(W4:W66)</f>
        <v>1357.4880000000001</v>
      </c>
      <c r="X67" s="7">
        <f t="shared" ref="X67" si="45">SUM(X4:X66)</f>
        <v>3753412.5435782974</v>
      </c>
      <c r="Y67" s="7">
        <f t="shared" ref="Y67" si="46">SUM(Y4:Y66)</f>
        <v>844.54800000000012</v>
      </c>
      <c r="Z67" s="7">
        <f t="shared" ref="Z67" si="47">SUM(Z4:Z66)</f>
        <v>2335149.2292042091</v>
      </c>
      <c r="AB67" s="26"/>
    </row>
    <row r="68" spans="1:28" x14ac:dyDescent="0.25">
      <c r="A68" s="31"/>
      <c r="B68" s="15"/>
      <c r="C68" s="23"/>
      <c r="D68" s="23"/>
      <c r="E68" s="8"/>
      <c r="F68" s="8"/>
      <c r="G68" s="8"/>
      <c r="H68" s="8"/>
      <c r="I68" s="22"/>
      <c r="J68" s="22"/>
      <c r="K68" s="22"/>
      <c r="L68" s="8"/>
      <c r="M68" s="22"/>
      <c r="N68" s="29"/>
      <c r="O68" s="22"/>
      <c r="P68" s="22"/>
      <c r="Q68" s="22"/>
      <c r="R68" s="22"/>
      <c r="S68" s="22"/>
      <c r="T68" s="29"/>
      <c r="U68" s="22"/>
      <c r="V68" s="29"/>
      <c r="W68" s="22"/>
      <c r="X68" s="29"/>
      <c r="Y68" s="22"/>
      <c r="Z68" s="29"/>
      <c r="AB68" s="26"/>
    </row>
    <row r="69" spans="1:28" x14ac:dyDescent="0.25">
      <c r="A69" s="31"/>
      <c r="B69" s="15"/>
      <c r="C69" s="22">
        <f>'Приложение №3'!C23+'Приложение №1'!C25+'Приложение №2'!C21+'Приложение №4'!C22</f>
        <v>83.625759999999985</v>
      </c>
      <c r="D69" s="22">
        <f>'Приложение №3'!D23+'Приложение №1'!D25+'Приложение №2'!D21+'Приложение №4'!D22</f>
        <v>547888.19999999995</v>
      </c>
      <c r="E69" s="8" t="e">
        <f>'Приложение №3'!#REF!+'Приложение №1'!#REF!+'Приложение №2'!#REF!+'Приложение №4'!#REF!</f>
        <v>#REF!</v>
      </c>
      <c r="F69" s="8" t="e">
        <f>'Приложение №3'!#REF!+'Приложение №1'!#REF!+'Приложение №2'!#REF!+'Приложение №4'!#REF!</f>
        <v>#REF!</v>
      </c>
      <c r="G69" s="8" t="e">
        <f>'Приложение №3'!#REF!+'Приложение №1'!#REF!+'Приложение №2'!#REF!+'Приложение №4'!#REF!</f>
        <v>#REF!</v>
      </c>
      <c r="H69" s="8" t="e">
        <f>'Приложение №3'!#REF!+'Приложение №1'!#REF!+'Приложение №2'!#REF!+'Приложение №4'!#REF!</f>
        <v>#REF!</v>
      </c>
      <c r="I69" s="22">
        <f>'Приложение №3'!E23+'Приложение №1'!E25+'Приложение №2'!E21+'Приложение №4'!E22</f>
        <v>0</v>
      </c>
      <c r="J69" s="22"/>
      <c r="K69" s="22">
        <f>'Приложение №3'!F23+'Приложение №1'!F25+'Приложение №2'!F21+'Приложение №4'!F22</f>
        <v>0</v>
      </c>
      <c r="L69" s="22">
        <f>'Приложение №3'!G23+'Приложение №1'!G25+'Приложение №2'!G21+'Приложение №4'!G22</f>
        <v>787252200</v>
      </c>
      <c r="M69" s="22">
        <f>'Приложение №3'!H23+'Приложение №1'!H25+'Приложение №2'!H21+'Приложение №4'!H22</f>
        <v>8008.0000000000009</v>
      </c>
      <c r="N69" s="22">
        <f>'Приложение №3'!I23+'Приложение №1'!I25+'Приложение №2'!I21+'Приложение №4'!I22</f>
        <v>7624780.2227076478</v>
      </c>
      <c r="O69" s="22">
        <f>'Приложение №3'!J23+'Приложение №1'!J25+'Приложение №2'!J21+'Приложение №4'!J22</f>
        <v>14219.219200000003</v>
      </c>
      <c r="P69" s="22">
        <f>'Приложение №3'!K23+'Приложение №1'!K25+'Приложение №2'!K21+'Приложение №4'!K22</f>
        <v>5488524.8634328945</v>
      </c>
      <c r="Q69" s="22">
        <f>'Приложение №3'!L23+'Приложение №1'!L25+'Приложение №2'!L21+'Приложение №4'!L22</f>
        <v>16.451799999999999</v>
      </c>
      <c r="R69" s="22">
        <f>'Приложение №3'!M23+'Приложение №1'!M25+'Приложение №2'!M21+'Приложение №4'!M22</f>
        <v>287424.73051969556</v>
      </c>
      <c r="S69" s="22">
        <f>'Приложение №3'!N23+'Приложение №1'!N25+'Приложение №2'!N21+'Приложение №4'!N22</f>
        <v>2629.3199999999997</v>
      </c>
      <c r="T69" s="22">
        <f>'Приложение №3'!O23+'Приложение №1'!O25+'Приложение №2'!O21+'Приложение №4'!O22</f>
        <v>7273581.5145333605</v>
      </c>
      <c r="U69" s="22">
        <f>'Приложение №3'!P23+'Приложение №1'!P25+'Приложение №2'!P21+'Приложение №4'!P22</f>
        <v>6072.3227999999999</v>
      </c>
      <c r="V69" s="22">
        <f>'Приложение №3'!Q23+'Приложение №1'!Q25+'Приложение №2'!Q21+'Приложение №4'!Q22</f>
        <v>16789785.667480297</v>
      </c>
      <c r="W69" s="22">
        <f>'Приложение №3'!R23+'Приложение №1'!R25+'Приложение №2'!R21+'Приложение №4'!R22</f>
        <v>1357.4880000000001</v>
      </c>
      <c r="X69" s="22">
        <f>'Приложение №3'!S23+'Приложение №1'!S25+'Приложение №2'!S21+'Приложение №4'!S22</f>
        <v>3753412.5435782978</v>
      </c>
      <c r="Y69" s="22">
        <f>'Приложение №3'!T23+'Приложение №1'!T25+'Приложение №2'!T21+'Приложение №4'!T22</f>
        <v>844.548</v>
      </c>
      <c r="Z69" s="22">
        <f>'Приложение №3'!U23+'Приложение №1'!U25+'Приложение №2'!U21+'Приложение №4'!U22</f>
        <v>2335149.2292042095</v>
      </c>
      <c r="AB69" s="26"/>
    </row>
    <row r="70" spans="1:28" x14ac:dyDescent="0.25">
      <c r="A70" s="31"/>
      <c r="B70" s="15"/>
      <c r="C70" s="22"/>
      <c r="D70" s="22"/>
      <c r="E70" s="8"/>
      <c r="F70" s="8"/>
      <c r="G70" s="8"/>
      <c r="H70" s="8"/>
      <c r="I70" s="22"/>
      <c r="J70" s="22"/>
      <c r="K70" s="22"/>
      <c r="L70" s="8"/>
      <c r="M70" s="22"/>
      <c r="N70" s="29"/>
      <c r="O70" s="22"/>
      <c r="P70" s="22"/>
      <c r="Q70" s="22"/>
      <c r="R70" s="22"/>
      <c r="S70" s="22"/>
      <c r="T70" s="29"/>
      <c r="U70" s="22"/>
      <c r="V70" s="29"/>
      <c r="W70" s="22"/>
      <c r="X70" s="29"/>
      <c r="Y70" s="22"/>
      <c r="Z70" s="29"/>
      <c r="AB70" s="26"/>
    </row>
    <row r="71" spans="1:28" x14ac:dyDescent="0.25">
      <c r="A71" s="31"/>
      <c r="B71" s="15"/>
      <c r="C71" s="8">
        <f>C69-C67</f>
        <v>0</v>
      </c>
      <c r="D71" s="8">
        <f t="shared" ref="D71:Z71" si="48">D69-D67</f>
        <v>0</v>
      </c>
      <c r="E71" s="8" t="e">
        <f t="shared" si="48"/>
        <v>#REF!</v>
      </c>
      <c r="F71" s="8" t="e">
        <f t="shared" si="48"/>
        <v>#REF!</v>
      </c>
      <c r="G71" s="8" t="e">
        <f t="shared" si="48"/>
        <v>#REF!</v>
      </c>
      <c r="H71" s="8" t="e">
        <f t="shared" si="48"/>
        <v>#REF!</v>
      </c>
      <c r="I71" s="8">
        <f t="shared" si="48"/>
        <v>0</v>
      </c>
      <c r="J71" s="8"/>
      <c r="K71" s="8">
        <f t="shared" si="48"/>
        <v>0</v>
      </c>
      <c r="L71" s="8">
        <f t="shared" si="48"/>
        <v>0</v>
      </c>
      <c r="M71" s="8">
        <f t="shared" si="48"/>
        <v>0</v>
      </c>
      <c r="N71" s="8">
        <f t="shared" si="48"/>
        <v>0</v>
      </c>
      <c r="O71" s="8">
        <f t="shared" si="48"/>
        <v>0</v>
      </c>
      <c r="P71" s="8">
        <f t="shared" si="48"/>
        <v>0</v>
      </c>
      <c r="Q71" s="8">
        <f t="shared" si="48"/>
        <v>0</v>
      </c>
      <c r="R71" s="8">
        <f t="shared" si="48"/>
        <v>0</v>
      </c>
      <c r="S71" s="8">
        <f t="shared" si="48"/>
        <v>0</v>
      </c>
      <c r="T71" s="8">
        <f t="shared" si="48"/>
        <v>0</v>
      </c>
      <c r="U71" s="8">
        <f t="shared" si="48"/>
        <v>0</v>
      </c>
      <c r="V71" s="8">
        <f t="shared" si="48"/>
        <v>0</v>
      </c>
      <c r="W71" s="8">
        <f t="shared" si="48"/>
        <v>0</v>
      </c>
      <c r="X71" s="8">
        <f t="shared" si="48"/>
        <v>0</v>
      </c>
      <c r="Y71" s="8">
        <f t="shared" si="48"/>
        <v>0</v>
      </c>
      <c r="Z71" s="8">
        <f t="shared" si="48"/>
        <v>0</v>
      </c>
      <c r="AB71" s="26"/>
    </row>
    <row r="72" spans="1:28" x14ac:dyDescent="0.25">
      <c r="A72" s="31"/>
      <c r="B72" s="15"/>
      <c r="C72" s="22"/>
      <c r="D72" s="22"/>
      <c r="E72" s="8"/>
      <c r="F72" s="8"/>
      <c r="G72" s="8"/>
      <c r="H72" s="8"/>
      <c r="I72" s="22"/>
      <c r="J72" s="22"/>
      <c r="K72" s="22"/>
      <c r="L72" s="8"/>
      <c r="M72" s="22"/>
      <c r="N72" s="29"/>
      <c r="O72" s="22"/>
      <c r="P72" s="22"/>
      <c r="Q72" s="22"/>
      <c r="R72" s="22"/>
      <c r="S72" s="22"/>
      <c r="T72" s="29"/>
      <c r="U72" s="22"/>
      <c r="V72" s="29"/>
      <c r="W72" s="22"/>
      <c r="X72" s="29"/>
      <c r="Y72" s="22"/>
      <c r="Z72" s="29"/>
      <c r="AB72" s="26"/>
    </row>
    <row r="73" spans="1:28" x14ac:dyDescent="0.25">
      <c r="A73" s="31"/>
      <c r="B73" s="15"/>
      <c r="C73" s="22"/>
      <c r="D73" s="22"/>
      <c r="E73" s="8"/>
      <c r="F73" s="8"/>
      <c r="G73" s="8"/>
      <c r="H73" s="8"/>
      <c r="I73" s="22"/>
      <c r="J73" s="21">
        <f>E67-J67</f>
        <v>-21291695.560000181</v>
      </c>
      <c r="K73" s="22"/>
      <c r="L73" s="8"/>
      <c r="M73" s="22"/>
      <c r="N73" s="29"/>
      <c r="O73" s="22"/>
      <c r="P73" s="22"/>
      <c r="Q73" s="22"/>
      <c r="R73" s="22"/>
      <c r="S73" s="22"/>
      <c r="T73" s="29"/>
      <c r="U73" s="22"/>
      <c r="V73" s="29"/>
      <c r="W73" s="22"/>
      <c r="X73" s="29"/>
      <c r="Y73" s="22"/>
      <c r="Z73" s="29"/>
      <c r="AB73" s="26"/>
    </row>
    <row r="74" spans="1:28" x14ac:dyDescent="0.25">
      <c r="A74" s="31"/>
      <c r="B74" s="15"/>
      <c r="C74" s="22"/>
      <c r="D74" s="21"/>
      <c r="E74" s="8"/>
      <c r="F74" s="8"/>
      <c r="G74" s="8"/>
      <c r="H74" s="8"/>
      <c r="I74" s="22"/>
      <c r="J74" s="22">
        <f>J67/E67</f>
        <v>1.025652645283919</v>
      </c>
      <c r="K74" s="22"/>
      <c r="L74" s="8"/>
      <c r="M74" s="22"/>
      <c r="N74" s="29"/>
      <c r="O74" s="22"/>
      <c r="P74" s="22"/>
      <c r="Q74" s="22"/>
      <c r="R74" s="22"/>
      <c r="S74" s="22"/>
      <c r="T74" s="29"/>
      <c r="U74" s="22"/>
      <c r="V74" s="29"/>
      <c r="W74" s="22"/>
      <c r="X74" s="29"/>
      <c r="Y74" s="22"/>
      <c r="Z74" s="29"/>
      <c r="AB74" s="26"/>
    </row>
    <row r="75" spans="1:28" x14ac:dyDescent="0.25">
      <c r="A75" s="31"/>
      <c r="B75" s="15"/>
      <c r="C75" s="23"/>
      <c r="D75" s="22"/>
      <c r="E75" s="8"/>
      <c r="F75" s="8"/>
      <c r="G75" s="8"/>
      <c r="H75" s="8"/>
      <c r="I75" s="22"/>
      <c r="J75" s="22"/>
      <c r="K75" s="22"/>
      <c r="L75" s="8"/>
      <c r="M75" s="22"/>
      <c r="N75" s="29"/>
      <c r="O75" s="22"/>
      <c r="P75" s="22"/>
      <c r="Q75" s="22"/>
      <c r="R75" s="22"/>
      <c r="S75" s="22"/>
      <c r="T75" s="29"/>
      <c r="U75" s="22"/>
      <c r="V75" s="29"/>
      <c r="W75" s="22"/>
      <c r="X75" s="29"/>
      <c r="Y75" s="22"/>
      <c r="Z75" s="29"/>
      <c r="AB75" s="26"/>
    </row>
    <row r="76" spans="1:28" x14ac:dyDescent="0.25">
      <c r="A76" s="31"/>
      <c r="B76" s="15"/>
      <c r="C76" s="22"/>
      <c r="D76" s="22"/>
      <c r="E76" s="8"/>
      <c r="F76" s="8"/>
      <c r="G76" s="8"/>
      <c r="H76" s="8"/>
      <c r="I76" s="22"/>
      <c r="J76" s="22"/>
      <c r="K76" s="22"/>
      <c r="L76" s="8"/>
      <c r="M76" s="22"/>
      <c r="N76" s="29"/>
      <c r="O76" s="22"/>
      <c r="P76" s="22"/>
      <c r="Q76" s="22"/>
      <c r="R76" s="22"/>
      <c r="S76" s="22"/>
      <c r="T76" s="29"/>
      <c r="U76" s="22"/>
      <c r="V76" s="29"/>
      <c r="W76" s="22"/>
      <c r="X76" s="29"/>
      <c r="Y76" s="22"/>
      <c r="Z76" s="29"/>
      <c r="AB76" s="26"/>
    </row>
    <row r="77" spans="1:28" x14ac:dyDescent="0.25">
      <c r="A77" s="31"/>
      <c r="B77" s="15"/>
      <c r="C77" s="22"/>
      <c r="D77" s="22"/>
      <c r="E77" s="8"/>
      <c r="F77" s="8"/>
      <c r="G77" s="8"/>
      <c r="H77" s="8"/>
      <c r="I77" s="22"/>
      <c r="J77" s="22"/>
      <c r="K77" s="22"/>
      <c r="L77" s="8"/>
      <c r="M77" s="22"/>
      <c r="N77" s="29"/>
      <c r="O77" s="22"/>
      <c r="P77" s="22"/>
      <c r="Q77" s="22"/>
      <c r="R77" s="22"/>
      <c r="S77" s="22"/>
      <c r="T77" s="29"/>
      <c r="U77" s="22"/>
      <c r="V77" s="29"/>
      <c r="W77" s="22"/>
      <c r="X77" s="29"/>
      <c r="Y77" s="22"/>
      <c r="Z77" s="29"/>
      <c r="AB77" s="26"/>
    </row>
    <row r="78" spans="1:28" x14ac:dyDescent="0.25">
      <c r="A78" s="31"/>
      <c r="B78" s="15"/>
      <c r="C78" s="22"/>
      <c r="D78" s="22"/>
      <c r="E78" s="8"/>
      <c r="F78" s="8"/>
      <c r="G78" s="8"/>
      <c r="H78" s="8"/>
      <c r="I78" s="22"/>
      <c r="J78" s="22"/>
      <c r="K78" s="22"/>
      <c r="L78" s="8"/>
      <c r="M78" s="22"/>
      <c r="N78" s="29"/>
      <c r="O78" s="22"/>
      <c r="P78" s="22"/>
      <c r="Q78" s="22"/>
      <c r="R78" s="22"/>
      <c r="S78" s="22"/>
      <c r="T78" s="29"/>
      <c r="U78" s="22"/>
      <c r="V78" s="29"/>
      <c r="W78" s="22"/>
      <c r="X78" s="29"/>
      <c r="Y78" s="22"/>
      <c r="Z78" s="29"/>
      <c r="AB78" s="26"/>
    </row>
    <row r="79" spans="1:28" x14ac:dyDescent="0.25">
      <c r="A79" s="31"/>
      <c r="B79" s="15"/>
      <c r="C79" s="22"/>
      <c r="D79" s="22"/>
      <c r="E79" s="8"/>
      <c r="F79" s="8"/>
      <c r="G79" s="8"/>
      <c r="H79" s="8"/>
      <c r="I79" s="22"/>
      <c r="J79" s="22"/>
      <c r="K79" s="22"/>
      <c r="L79" s="8"/>
      <c r="M79" s="22"/>
      <c r="N79" s="29"/>
      <c r="O79" s="22"/>
      <c r="P79" s="22"/>
      <c r="Q79" s="22"/>
      <c r="R79" s="22"/>
      <c r="S79" s="22"/>
      <c r="T79" s="29"/>
      <c r="U79" s="22"/>
      <c r="V79" s="29"/>
      <c r="W79" s="22"/>
      <c r="X79" s="29"/>
      <c r="Y79" s="22"/>
      <c r="Z79" s="29"/>
      <c r="AB79" s="26"/>
    </row>
    <row r="80" spans="1:28" x14ac:dyDescent="0.25">
      <c r="A80" s="31"/>
      <c r="B80" s="15"/>
      <c r="C80" s="22"/>
      <c r="D80" s="22"/>
      <c r="E80" s="8"/>
      <c r="F80" s="8"/>
      <c r="G80" s="8"/>
      <c r="H80" s="8"/>
      <c r="I80" s="22"/>
      <c r="J80" s="22"/>
      <c r="K80" s="22"/>
      <c r="L80" s="8"/>
      <c r="M80" s="22"/>
      <c r="N80" s="29"/>
      <c r="O80" s="22"/>
      <c r="P80" s="22"/>
      <c r="Q80" s="22"/>
      <c r="R80" s="22"/>
      <c r="S80" s="22"/>
      <c r="T80" s="29"/>
      <c r="U80" s="22"/>
      <c r="V80" s="29"/>
      <c r="W80" s="22"/>
      <c r="X80" s="29"/>
      <c r="Y80" s="22"/>
      <c r="Z80" s="29"/>
      <c r="AB80" s="26"/>
    </row>
    <row r="81" spans="1:28" x14ac:dyDescent="0.25">
      <c r="A81" s="31"/>
      <c r="B81" s="15"/>
      <c r="C81" s="22"/>
      <c r="D81" s="22"/>
      <c r="E81" s="8"/>
      <c r="F81" s="8"/>
      <c r="G81" s="8"/>
      <c r="H81" s="8"/>
      <c r="I81" s="22"/>
      <c r="J81" s="22"/>
      <c r="K81" s="22"/>
      <c r="L81" s="8"/>
      <c r="M81" s="22"/>
      <c r="N81" s="29"/>
      <c r="O81" s="22"/>
      <c r="P81" s="22"/>
      <c r="Q81" s="22"/>
      <c r="R81" s="22"/>
      <c r="S81" s="22"/>
      <c r="T81" s="29"/>
      <c r="U81" s="22"/>
      <c r="V81" s="29"/>
      <c r="W81" s="22"/>
      <c r="X81" s="29"/>
      <c r="Y81" s="22"/>
      <c r="Z81" s="29"/>
      <c r="AB81" s="26"/>
    </row>
    <row r="82" spans="1:28" x14ac:dyDescent="0.25">
      <c r="A82" s="31"/>
      <c r="B82" s="15"/>
      <c r="C82" s="22"/>
      <c r="D82" s="22"/>
      <c r="E82" s="8"/>
      <c r="F82" s="8"/>
      <c r="G82" s="8"/>
      <c r="H82" s="8"/>
      <c r="I82" s="22"/>
      <c r="J82" s="22"/>
      <c r="K82" s="22"/>
      <c r="L82" s="8"/>
      <c r="M82" s="22"/>
      <c r="N82" s="29"/>
      <c r="O82" s="22"/>
      <c r="P82" s="22"/>
      <c r="Q82" s="22"/>
      <c r="R82" s="22"/>
      <c r="S82" s="22"/>
      <c r="T82" s="29"/>
      <c r="U82" s="22"/>
      <c r="V82" s="29"/>
      <c r="W82" s="22"/>
      <c r="X82" s="29"/>
      <c r="Y82" s="22"/>
      <c r="Z82" s="29"/>
      <c r="AB82" s="26"/>
    </row>
    <row r="83" spans="1:28" x14ac:dyDescent="0.25">
      <c r="A83" s="31"/>
      <c r="B83" s="15"/>
      <c r="C83" s="22"/>
      <c r="D83" s="22"/>
      <c r="E83" s="8"/>
      <c r="F83" s="8"/>
      <c r="G83" s="8"/>
      <c r="H83" s="8"/>
      <c r="I83" s="22"/>
      <c r="J83" s="22"/>
      <c r="K83" s="22"/>
      <c r="L83" s="8"/>
      <c r="M83" s="22"/>
      <c r="N83" s="29"/>
      <c r="O83" s="22"/>
      <c r="P83" s="22"/>
      <c r="Q83" s="22"/>
      <c r="R83" s="22"/>
      <c r="S83" s="22"/>
      <c r="T83" s="29"/>
      <c r="U83" s="22"/>
      <c r="V83" s="29"/>
      <c r="W83" s="22"/>
      <c r="X83" s="29"/>
      <c r="Y83" s="22"/>
      <c r="Z83" s="29"/>
      <c r="AB83" s="26"/>
    </row>
    <row r="84" spans="1:28" x14ac:dyDescent="0.25">
      <c r="A84" s="31"/>
      <c r="B84" s="15"/>
      <c r="C84" s="22"/>
      <c r="D84" s="22"/>
      <c r="E84" s="8"/>
      <c r="F84" s="8"/>
      <c r="G84" s="8"/>
      <c r="H84" s="8"/>
      <c r="I84" s="22"/>
      <c r="J84" s="22"/>
      <c r="K84" s="22"/>
      <c r="L84" s="8"/>
      <c r="M84" s="22"/>
      <c r="N84" s="29"/>
      <c r="O84" s="22"/>
      <c r="P84" s="22"/>
      <c r="Q84" s="22"/>
      <c r="R84" s="22"/>
      <c r="S84" s="22"/>
      <c r="T84" s="29"/>
      <c r="U84" s="22"/>
      <c r="V84" s="29"/>
      <c r="W84" s="22"/>
      <c r="X84" s="29"/>
      <c r="Y84" s="22"/>
      <c r="Z84" s="29"/>
      <c r="AB84" s="26"/>
    </row>
    <row r="85" spans="1:28" x14ac:dyDescent="0.25">
      <c r="A85" s="31"/>
      <c r="B85" s="15"/>
      <c r="C85" s="22"/>
      <c r="D85" s="22"/>
      <c r="E85" s="8"/>
      <c r="F85" s="8"/>
      <c r="G85" s="8"/>
      <c r="H85" s="8"/>
      <c r="I85" s="22"/>
      <c r="J85" s="22"/>
      <c r="K85" s="22"/>
      <c r="L85" s="8"/>
      <c r="M85" s="22"/>
      <c r="N85" s="29"/>
      <c r="O85" s="22"/>
      <c r="P85" s="22"/>
      <c r="Q85" s="22"/>
      <c r="R85" s="22"/>
      <c r="S85" s="22"/>
      <c r="T85" s="29"/>
      <c r="U85" s="22"/>
      <c r="V85" s="29"/>
      <c r="W85" s="22"/>
      <c r="X85" s="29"/>
      <c r="Y85" s="22"/>
      <c r="Z85" s="29"/>
      <c r="AB85" s="26"/>
    </row>
    <row r="86" spans="1:28" x14ac:dyDescent="0.25">
      <c r="A86" s="31"/>
      <c r="B86" s="15"/>
      <c r="C86" s="22"/>
      <c r="D86" s="22"/>
      <c r="E86" s="8"/>
      <c r="F86" s="8"/>
      <c r="G86" s="8"/>
      <c r="H86" s="8"/>
      <c r="I86" s="22"/>
      <c r="J86" s="22"/>
      <c r="K86" s="22"/>
      <c r="L86" s="8"/>
      <c r="M86" s="22"/>
      <c r="N86" s="29"/>
      <c r="O86" s="22"/>
      <c r="P86" s="22"/>
      <c r="Q86" s="22"/>
      <c r="R86" s="22"/>
      <c r="S86" s="22"/>
      <c r="T86" s="29"/>
      <c r="U86" s="22"/>
      <c r="V86" s="29"/>
      <c r="W86" s="22"/>
      <c r="X86" s="29"/>
      <c r="Y86" s="22"/>
      <c r="Z86" s="29"/>
      <c r="AB86" s="26"/>
    </row>
    <row r="87" spans="1:28" x14ac:dyDescent="0.25">
      <c r="A87" s="31"/>
      <c r="B87" s="15"/>
      <c r="C87" s="22"/>
      <c r="D87" s="22"/>
      <c r="E87" s="8"/>
      <c r="F87" s="8"/>
      <c r="G87" s="8"/>
      <c r="H87" s="8"/>
      <c r="I87" s="22"/>
      <c r="J87" s="22"/>
      <c r="K87" s="22"/>
      <c r="L87" s="8"/>
      <c r="M87" s="22"/>
      <c r="N87" s="29"/>
      <c r="O87" s="22"/>
      <c r="P87" s="22"/>
      <c r="Q87" s="22"/>
      <c r="R87" s="22"/>
      <c r="S87" s="22"/>
      <c r="T87" s="29"/>
      <c r="U87" s="22"/>
      <c r="V87" s="29"/>
      <c r="W87" s="22"/>
      <c r="X87" s="29"/>
      <c r="Y87" s="22"/>
      <c r="Z87" s="29"/>
      <c r="AB87" s="26"/>
    </row>
    <row r="88" spans="1:28" x14ac:dyDescent="0.25">
      <c r="A88" s="31"/>
      <c r="B88" s="15"/>
      <c r="C88" s="22"/>
      <c r="D88" s="22"/>
      <c r="E88" s="8"/>
      <c r="F88" s="8"/>
      <c r="G88" s="8"/>
      <c r="H88" s="8"/>
      <c r="I88" s="22"/>
      <c r="J88" s="22"/>
      <c r="K88" s="22"/>
      <c r="L88" s="8"/>
      <c r="M88" s="22"/>
      <c r="N88" s="29"/>
      <c r="O88" s="22"/>
      <c r="P88" s="22"/>
      <c r="Q88" s="22"/>
      <c r="R88" s="22"/>
      <c r="S88" s="22"/>
      <c r="T88" s="29"/>
      <c r="U88" s="22"/>
      <c r="V88" s="29"/>
      <c r="W88" s="22"/>
      <c r="X88" s="29"/>
      <c r="Y88" s="22"/>
      <c r="Z88" s="29"/>
      <c r="AB88" s="26"/>
    </row>
    <row r="89" spans="1:28" x14ac:dyDescent="0.25">
      <c r="A89" s="31"/>
      <c r="B89" s="24"/>
      <c r="C89" s="22"/>
      <c r="D89" s="22"/>
      <c r="E89" s="8"/>
      <c r="F89" s="8"/>
      <c r="G89" s="8"/>
      <c r="H89" s="8"/>
      <c r="I89" s="22"/>
      <c r="J89" s="22"/>
      <c r="K89" s="22"/>
      <c r="L89" s="8"/>
      <c r="M89" s="22"/>
      <c r="N89" s="29"/>
      <c r="O89" s="22"/>
      <c r="P89" s="22"/>
      <c r="Q89" s="22"/>
      <c r="R89" s="22"/>
      <c r="S89" s="22"/>
      <c r="T89" s="29"/>
      <c r="U89" s="22"/>
      <c r="V89" s="29"/>
      <c r="W89" s="22"/>
      <c r="X89" s="29"/>
      <c r="Y89" s="22"/>
      <c r="Z89" s="29"/>
      <c r="AB89" s="26"/>
    </row>
    <row r="90" spans="1:28" x14ac:dyDescent="0.25">
      <c r="A90" s="31"/>
      <c r="B90" s="24"/>
      <c r="C90" s="22"/>
      <c r="D90" s="22"/>
      <c r="E90" s="8"/>
      <c r="F90" s="8"/>
      <c r="G90" s="8"/>
      <c r="H90" s="8"/>
      <c r="I90" s="22"/>
      <c r="J90" s="22"/>
      <c r="K90" s="22"/>
      <c r="L90" s="8"/>
      <c r="M90" s="22"/>
      <c r="N90" s="29"/>
      <c r="O90" s="22"/>
      <c r="P90" s="22"/>
      <c r="Q90" s="22"/>
      <c r="R90" s="22"/>
      <c r="S90" s="22"/>
      <c r="T90" s="29"/>
      <c r="U90" s="22"/>
      <c r="V90" s="29"/>
      <c r="W90" s="22"/>
      <c r="X90" s="29"/>
      <c r="Y90" s="22"/>
      <c r="Z90" s="29"/>
      <c r="AB90" s="26"/>
    </row>
    <row r="91" spans="1:28" x14ac:dyDescent="0.25">
      <c r="A91" s="31"/>
      <c r="B91" s="24"/>
      <c r="C91" s="22"/>
      <c r="D91" s="22"/>
      <c r="E91" s="8"/>
      <c r="F91" s="8"/>
      <c r="G91" s="8"/>
      <c r="H91" s="8"/>
      <c r="I91" s="22"/>
      <c r="J91" s="22"/>
      <c r="K91" s="22"/>
      <c r="L91" s="8"/>
      <c r="M91" s="22"/>
      <c r="N91" s="29"/>
      <c r="O91" s="22"/>
      <c r="P91" s="22"/>
      <c r="Q91" s="22"/>
      <c r="R91" s="22"/>
      <c r="S91" s="22"/>
      <c r="T91" s="29"/>
      <c r="U91" s="22"/>
      <c r="V91" s="29"/>
      <c r="W91" s="22"/>
      <c r="X91" s="29"/>
      <c r="Y91" s="22"/>
      <c r="Z91" s="29"/>
      <c r="AB91" s="26"/>
    </row>
    <row r="92" spans="1:28" x14ac:dyDescent="0.25">
      <c r="A92" s="31"/>
      <c r="B92" s="24"/>
      <c r="C92" s="22"/>
      <c r="D92" s="22"/>
      <c r="E92" s="8"/>
      <c r="F92" s="8"/>
      <c r="G92" s="8"/>
      <c r="H92" s="8"/>
      <c r="I92" s="22"/>
      <c r="J92" s="22"/>
      <c r="K92" s="22"/>
      <c r="L92" s="8"/>
      <c r="M92" s="22"/>
      <c r="N92" s="29"/>
      <c r="O92" s="22"/>
      <c r="P92" s="22"/>
      <c r="Q92" s="22"/>
      <c r="R92" s="22"/>
      <c r="S92" s="22"/>
      <c r="T92" s="29"/>
      <c r="U92" s="22"/>
      <c r="V92" s="29"/>
      <c r="W92" s="22"/>
      <c r="X92" s="29"/>
      <c r="Y92" s="22"/>
      <c r="Z92" s="29"/>
      <c r="AB92" s="26"/>
    </row>
    <row r="93" spans="1:28" x14ac:dyDescent="0.25">
      <c r="A93" s="31"/>
      <c r="B93" s="24"/>
      <c r="C93" s="22"/>
      <c r="D93" s="22"/>
      <c r="E93" s="8"/>
      <c r="F93" s="8"/>
      <c r="G93" s="8"/>
      <c r="H93" s="8"/>
      <c r="I93" s="22"/>
      <c r="J93" s="22"/>
      <c r="K93" s="22"/>
      <c r="L93" s="8"/>
      <c r="M93" s="22"/>
      <c r="N93" s="29"/>
      <c r="O93" s="22"/>
      <c r="P93" s="22"/>
      <c r="Q93" s="22"/>
      <c r="R93" s="22"/>
      <c r="S93" s="22"/>
      <c r="T93" s="29"/>
      <c r="U93" s="22"/>
      <c r="V93" s="29"/>
      <c r="W93" s="22"/>
      <c r="X93" s="29"/>
      <c r="Y93" s="22"/>
      <c r="Z93" s="29"/>
      <c r="AB93" s="26"/>
    </row>
    <row r="94" spans="1:28" x14ac:dyDescent="0.25">
      <c r="A94" s="31"/>
      <c r="B94" s="24"/>
      <c r="C94" s="22"/>
      <c r="D94" s="22"/>
      <c r="E94" s="8"/>
      <c r="F94" s="8"/>
      <c r="G94" s="8"/>
      <c r="H94" s="8"/>
      <c r="I94" s="22"/>
      <c r="J94" s="22"/>
      <c r="K94" s="22"/>
      <c r="L94" s="8"/>
      <c r="M94" s="22"/>
      <c r="N94" s="29"/>
      <c r="O94" s="22"/>
      <c r="P94" s="22"/>
      <c r="Q94" s="22"/>
      <c r="R94" s="22"/>
      <c r="S94" s="22"/>
      <c r="T94" s="29"/>
      <c r="U94" s="22"/>
      <c r="V94" s="29"/>
      <c r="W94" s="22"/>
      <c r="X94" s="29"/>
      <c r="Y94" s="22"/>
      <c r="Z94" s="29"/>
      <c r="AB94" s="26"/>
    </row>
    <row r="95" spans="1:28" x14ac:dyDescent="0.25">
      <c r="A95" s="31"/>
      <c r="B95" s="24"/>
      <c r="C95" s="22"/>
      <c r="D95" s="22"/>
      <c r="E95" s="8"/>
      <c r="F95" s="8"/>
      <c r="G95" s="8"/>
      <c r="H95" s="8"/>
      <c r="I95" s="22"/>
      <c r="J95" s="22"/>
      <c r="K95" s="22"/>
      <c r="L95" s="8"/>
      <c r="M95" s="22"/>
      <c r="N95" s="29"/>
      <c r="O95" s="22"/>
      <c r="P95" s="22"/>
      <c r="Q95" s="22"/>
      <c r="R95" s="22"/>
      <c r="S95" s="22"/>
      <c r="T95" s="29"/>
      <c r="U95" s="22"/>
      <c r="V95" s="29"/>
      <c r="W95" s="22"/>
      <c r="X95" s="29"/>
      <c r="Y95" s="22"/>
      <c r="Z95" s="29"/>
      <c r="AB95" s="26"/>
    </row>
    <row r="96" spans="1:28" x14ac:dyDescent="0.25">
      <c r="A96" s="31"/>
      <c r="B96" s="24"/>
      <c r="C96" s="22"/>
      <c r="D96" s="22"/>
      <c r="E96" s="8"/>
      <c r="F96" s="8"/>
      <c r="G96" s="8"/>
      <c r="H96" s="8"/>
      <c r="I96" s="22"/>
      <c r="J96" s="22"/>
      <c r="K96" s="22"/>
      <c r="L96" s="8"/>
      <c r="M96" s="22"/>
      <c r="N96" s="29"/>
      <c r="O96" s="22"/>
      <c r="P96" s="22"/>
      <c r="Q96" s="22"/>
      <c r="R96" s="22"/>
      <c r="S96" s="22"/>
      <c r="T96" s="29"/>
      <c r="U96" s="22"/>
      <c r="V96" s="29"/>
      <c r="W96" s="22"/>
      <c r="X96" s="29"/>
      <c r="Y96" s="22"/>
      <c r="Z96" s="29"/>
      <c r="AB96" s="26"/>
    </row>
    <row r="97" spans="1:28" x14ac:dyDescent="0.25">
      <c r="A97" s="31"/>
      <c r="B97" s="24"/>
      <c r="C97" s="22"/>
      <c r="D97" s="22"/>
      <c r="E97" s="8"/>
      <c r="F97" s="8"/>
      <c r="G97" s="8"/>
      <c r="H97" s="8"/>
      <c r="I97" s="22"/>
      <c r="J97" s="22"/>
      <c r="K97" s="22"/>
      <c r="L97" s="8"/>
      <c r="M97" s="22"/>
      <c r="N97" s="29"/>
      <c r="O97" s="22"/>
      <c r="P97" s="22"/>
      <c r="Q97" s="22"/>
      <c r="R97" s="22"/>
      <c r="S97" s="22"/>
      <c r="T97" s="29"/>
      <c r="U97" s="22"/>
      <c r="V97" s="29"/>
      <c r="W97" s="22"/>
      <c r="X97" s="29"/>
      <c r="Y97" s="22"/>
      <c r="Z97" s="29"/>
      <c r="AB97" s="26"/>
    </row>
    <row r="98" spans="1:28" x14ac:dyDescent="0.25">
      <c r="A98" s="31"/>
      <c r="B98" s="24"/>
      <c r="C98" s="22"/>
      <c r="D98" s="22"/>
      <c r="E98" s="8"/>
      <c r="F98" s="8"/>
      <c r="G98" s="8"/>
      <c r="H98" s="8"/>
      <c r="I98" s="22"/>
      <c r="J98" s="22"/>
      <c r="K98" s="22"/>
      <c r="L98" s="8"/>
      <c r="M98" s="22"/>
      <c r="N98" s="29"/>
      <c r="O98" s="22"/>
      <c r="P98" s="22"/>
      <c r="Q98" s="22"/>
      <c r="R98" s="22"/>
      <c r="S98" s="22"/>
      <c r="T98" s="29"/>
      <c r="U98" s="22"/>
      <c r="V98" s="29"/>
      <c r="W98" s="22"/>
      <c r="X98" s="29"/>
      <c r="Y98" s="22"/>
      <c r="Z98" s="29"/>
      <c r="AB98" s="26"/>
    </row>
    <row r="99" spans="1:28" x14ac:dyDescent="0.25">
      <c r="A99" s="31"/>
      <c r="B99" s="24"/>
      <c r="C99" s="22"/>
      <c r="D99" s="22"/>
      <c r="E99" s="8"/>
      <c r="F99" s="8"/>
      <c r="G99" s="8"/>
      <c r="H99" s="8"/>
      <c r="I99" s="22"/>
      <c r="J99" s="22"/>
      <c r="K99" s="22"/>
      <c r="L99" s="8"/>
      <c r="M99" s="22"/>
      <c r="N99" s="29"/>
      <c r="O99" s="22"/>
      <c r="P99" s="22"/>
      <c r="Q99" s="22"/>
      <c r="R99" s="22"/>
      <c r="S99" s="22"/>
      <c r="T99" s="29"/>
      <c r="U99" s="22"/>
      <c r="V99" s="29"/>
      <c r="W99" s="22"/>
      <c r="X99" s="29"/>
      <c r="Y99" s="22"/>
      <c r="Z99" s="29"/>
      <c r="AB99" s="26"/>
    </row>
    <row r="100" spans="1:28" x14ac:dyDescent="0.25">
      <c r="A100" s="31"/>
      <c r="B100" s="24"/>
      <c r="C100" s="22"/>
      <c r="D100" s="22"/>
      <c r="E100" s="8"/>
      <c r="F100" s="8"/>
      <c r="G100" s="8"/>
      <c r="H100" s="8"/>
      <c r="I100" s="22"/>
      <c r="J100" s="22"/>
      <c r="K100" s="22"/>
      <c r="L100" s="8"/>
      <c r="M100" s="22"/>
      <c r="N100" s="29"/>
      <c r="O100" s="22"/>
      <c r="P100" s="22"/>
      <c r="Q100" s="22"/>
      <c r="R100" s="22"/>
      <c r="S100" s="22"/>
      <c r="T100" s="29"/>
      <c r="U100" s="22"/>
      <c r="V100" s="29"/>
      <c r="W100" s="22"/>
      <c r="X100" s="29"/>
      <c r="Y100" s="22"/>
      <c r="Z100" s="29"/>
      <c r="AB100" s="26"/>
    </row>
    <row r="101" spans="1:28" x14ac:dyDescent="0.25">
      <c r="A101" s="31"/>
      <c r="B101" s="24"/>
      <c r="C101" s="22"/>
      <c r="D101" s="22"/>
      <c r="E101" s="8"/>
      <c r="F101" s="8"/>
      <c r="G101" s="8"/>
      <c r="H101" s="8"/>
      <c r="I101" s="22"/>
      <c r="J101" s="22"/>
      <c r="K101" s="22"/>
      <c r="L101" s="8"/>
      <c r="M101" s="22"/>
      <c r="N101" s="29"/>
      <c r="O101" s="22"/>
      <c r="P101" s="22"/>
      <c r="Q101" s="22"/>
      <c r="R101" s="22"/>
      <c r="S101" s="22"/>
      <c r="T101" s="29"/>
      <c r="U101" s="22"/>
      <c r="V101" s="29"/>
      <c r="W101" s="22"/>
      <c r="X101" s="29"/>
      <c r="Y101" s="22"/>
      <c r="Z101" s="29"/>
      <c r="AB101" s="26"/>
    </row>
    <row r="102" spans="1:28" x14ac:dyDescent="0.25">
      <c r="A102" s="31"/>
      <c r="B102" s="24"/>
      <c r="C102" s="22"/>
      <c r="D102" s="22"/>
      <c r="E102" s="8"/>
      <c r="F102" s="8"/>
      <c r="G102" s="8"/>
      <c r="H102" s="8"/>
      <c r="I102" s="22"/>
      <c r="J102" s="22"/>
      <c r="K102" s="22"/>
      <c r="L102" s="8"/>
      <c r="M102" s="22"/>
      <c r="N102" s="29"/>
      <c r="O102" s="22"/>
      <c r="P102" s="22"/>
      <c r="Q102" s="22"/>
      <c r="R102" s="22"/>
      <c r="S102" s="22"/>
      <c r="T102" s="29"/>
      <c r="U102" s="22"/>
      <c r="V102" s="29"/>
      <c r="W102" s="22"/>
      <c r="X102" s="29"/>
      <c r="Y102" s="22"/>
      <c r="Z102" s="29"/>
      <c r="AB102" s="26"/>
    </row>
    <row r="103" spans="1:28" x14ac:dyDescent="0.25">
      <c r="A103" s="31"/>
      <c r="B103" s="24"/>
      <c r="C103" s="22"/>
      <c r="D103" s="22"/>
      <c r="E103" s="8"/>
      <c r="F103" s="8"/>
      <c r="G103" s="8"/>
      <c r="H103" s="8"/>
      <c r="I103" s="22"/>
      <c r="J103" s="22"/>
      <c r="K103" s="22"/>
      <c r="L103" s="8"/>
      <c r="M103" s="22"/>
      <c r="N103" s="29"/>
      <c r="O103" s="22"/>
      <c r="P103" s="22"/>
      <c r="Q103" s="22"/>
      <c r="R103" s="22"/>
      <c r="S103" s="22"/>
      <c r="T103" s="29"/>
      <c r="U103" s="22"/>
      <c r="V103" s="29"/>
      <c r="W103" s="22"/>
      <c r="X103" s="29"/>
      <c r="Y103" s="22"/>
      <c r="Z103" s="29"/>
      <c r="AB103" s="26"/>
    </row>
    <row r="104" spans="1:28" x14ac:dyDescent="0.25">
      <c r="A104" s="31"/>
      <c r="B104" s="24"/>
      <c r="C104" s="22"/>
      <c r="D104" s="22"/>
      <c r="E104" s="8"/>
      <c r="F104" s="8"/>
      <c r="G104" s="8"/>
      <c r="H104" s="8"/>
      <c r="I104" s="22"/>
      <c r="J104" s="22"/>
      <c r="K104" s="22"/>
      <c r="L104" s="8"/>
      <c r="M104" s="22"/>
      <c r="N104" s="29"/>
      <c r="O104" s="22"/>
      <c r="P104" s="22"/>
      <c r="Q104" s="22"/>
      <c r="R104" s="22"/>
      <c r="S104" s="22"/>
      <c r="T104" s="29"/>
      <c r="U104" s="22"/>
      <c r="V104" s="29"/>
      <c r="W104" s="22"/>
      <c r="X104" s="29"/>
      <c r="Y104" s="22"/>
      <c r="Z104" s="29"/>
      <c r="AB104" s="26"/>
    </row>
    <row r="105" spans="1:28" x14ac:dyDescent="0.25">
      <c r="A105" s="31"/>
      <c r="B105" s="24"/>
      <c r="C105" s="22"/>
      <c r="D105" s="22"/>
      <c r="E105" s="8"/>
      <c r="F105" s="8"/>
      <c r="G105" s="8"/>
      <c r="H105" s="8"/>
      <c r="I105" s="22"/>
      <c r="J105" s="22"/>
      <c r="K105" s="22"/>
      <c r="L105" s="8"/>
      <c r="M105" s="22"/>
      <c r="N105" s="29"/>
      <c r="O105" s="22"/>
      <c r="P105" s="22"/>
      <c r="Q105" s="22"/>
      <c r="R105" s="22"/>
      <c r="S105" s="22"/>
      <c r="T105" s="29"/>
      <c r="U105" s="22"/>
      <c r="V105" s="29"/>
      <c r="W105" s="22"/>
      <c r="X105" s="29"/>
      <c r="Y105" s="22"/>
      <c r="Z105" s="29"/>
      <c r="AB105" s="26"/>
    </row>
    <row r="106" spans="1:28" x14ac:dyDescent="0.25">
      <c r="A106" s="31"/>
      <c r="B106" s="24"/>
      <c r="C106" s="22"/>
      <c r="D106" s="22"/>
      <c r="E106" s="8"/>
      <c r="F106" s="8"/>
      <c r="G106" s="8"/>
      <c r="H106" s="8"/>
      <c r="I106" s="22"/>
      <c r="J106" s="22"/>
      <c r="K106" s="22"/>
      <c r="L106" s="8"/>
      <c r="M106" s="22"/>
      <c r="N106" s="29"/>
      <c r="O106" s="22"/>
      <c r="P106" s="22"/>
      <c r="Q106" s="22"/>
      <c r="R106" s="22"/>
      <c r="S106" s="22"/>
      <c r="T106" s="29"/>
      <c r="U106" s="22"/>
      <c r="V106" s="29"/>
      <c r="W106" s="22"/>
      <c r="X106" s="29"/>
      <c r="Y106" s="22"/>
      <c r="Z106" s="29"/>
      <c r="AB106" s="26"/>
    </row>
    <row r="107" spans="1:28" x14ac:dyDescent="0.25">
      <c r="A107" s="31"/>
      <c r="B107" s="24"/>
      <c r="C107" s="22"/>
      <c r="D107" s="22"/>
      <c r="E107" s="8"/>
      <c r="F107" s="8"/>
      <c r="G107" s="8"/>
      <c r="H107" s="8"/>
      <c r="I107" s="22"/>
      <c r="J107" s="22"/>
      <c r="K107" s="22"/>
      <c r="L107" s="8"/>
      <c r="M107" s="22"/>
      <c r="N107" s="29"/>
      <c r="O107" s="22"/>
      <c r="P107" s="22"/>
      <c r="Q107" s="22"/>
      <c r="R107" s="22"/>
      <c r="S107" s="22"/>
      <c r="T107" s="29"/>
      <c r="U107" s="22"/>
      <c r="V107" s="29"/>
      <c r="W107" s="22"/>
      <c r="X107" s="29"/>
      <c r="Y107" s="22"/>
      <c r="Z107" s="29"/>
      <c r="AB107" s="26"/>
    </row>
    <row r="108" spans="1:28" x14ac:dyDescent="0.25">
      <c r="A108" s="31"/>
      <c r="B108" s="24"/>
      <c r="C108" s="22"/>
      <c r="D108" s="22"/>
      <c r="E108" s="8"/>
      <c r="F108" s="8"/>
      <c r="G108" s="8"/>
      <c r="H108" s="8"/>
      <c r="I108" s="22"/>
      <c r="J108" s="22"/>
      <c r="K108" s="22"/>
      <c r="L108" s="8"/>
      <c r="M108" s="22"/>
      <c r="N108" s="29"/>
      <c r="O108" s="22"/>
      <c r="P108" s="22"/>
      <c r="Q108" s="22"/>
      <c r="R108" s="22"/>
      <c r="S108" s="22"/>
      <c r="T108" s="29"/>
      <c r="U108" s="22"/>
      <c r="V108" s="29"/>
      <c r="W108" s="22"/>
      <c r="X108" s="29"/>
      <c r="Y108" s="22"/>
      <c r="Z108" s="29"/>
      <c r="AB108" s="26"/>
    </row>
    <row r="109" spans="1:28" x14ac:dyDescent="0.25">
      <c r="A109" s="31"/>
      <c r="B109" s="24"/>
      <c r="C109" s="22"/>
      <c r="D109" s="22"/>
      <c r="E109" s="8"/>
      <c r="F109" s="8"/>
      <c r="G109" s="8"/>
      <c r="H109" s="8"/>
      <c r="I109" s="22"/>
      <c r="J109" s="22"/>
      <c r="K109" s="22"/>
      <c r="L109" s="8"/>
      <c r="M109" s="22"/>
      <c r="N109" s="29"/>
      <c r="O109" s="22"/>
      <c r="P109" s="22"/>
      <c r="Q109" s="22"/>
      <c r="R109" s="22"/>
      <c r="S109" s="22"/>
      <c r="T109" s="29"/>
      <c r="U109" s="22"/>
      <c r="V109" s="29"/>
      <c r="W109" s="22"/>
      <c r="X109" s="29"/>
      <c r="Y109" s="22"/>
      <c r="Z109" s="29"/>
      <c r="AB109" s="26"/>
    </row>
    <row r="110" spans="1:28" x14ac:dyDescent="0.25">
      <c r="A110" s="31"/>
      <c r="B110" s="24"/>
      <c r="C110" s="22"/>
      <c r="D110" s="22"/>
      <c r="E110" s="8"/>
      <c r="F110" s="8"/>
      <c r="G110" s="8"/>
      <c r="H110" s="8"/>
      <c r="I110" s="22"/>
      <c r="J110" s="22"/>
      <c r="K110" s="22"/>
      <c r="L110" s="8"/>
      <c r="M110" s="22"/>
      <c r="N110" s="29"/>
      <c r="O110" s="22"/>
      <c r="P110" s="22"/>
      <c r="Q110" s="22"/>
      <c r="R110" s="22"/>
      <c r="S110" s="22"/>
      <c r="T110" s="29"/>
      <c r="U110" s="22"/>
      <c r="V110" s="29"/>
      <c r="W110" s="22"/>
      <c r="X110" s="29"/>
      <c r="Y110" s="22"/>
      <c r="Z110" s="29"/>
      <c r="AB110" s="26"/>
    </row>
    <row r="111" spans="1:28" x14ac:dyDescent="0.25">
      <c r="A111" s="31"/>
      <c r="B111" s="24"/>
      <c r="C111" s="22"/>
      <c r="D111" s="22"/>
      <c r="E111" s="8"/>
      <c r="F111" s="8"/>
      <c r="G111" s="8"/>
      <c r="H111" s="8"/>
      <c r="I111" s="22"/>
      <c r="J111" s="22"/>
      <c r="K111" s="22"/>
      <c r="L111" s="8"/>
      <c r="M111" s="22"/>
      <c r="N111" s="29"/>
      <c r="O111" s="22"/>
      <c r="P111" s="22"/>
      <c r="Q111" s="22"/>
      <c r="R111" s="22"/>
      <c r="S111" s="22"/>
      <c r="T111" s="29"/>
      <c r="U111" s="22"/>
      <c r="V111" s="29"/>
      <c r="W111" s="22"/>
      <c r="X111" s="29"/>
      <c r="Y111" s="22"/>
      <c r="Z111" s="29"/>
      <c r="AB111" s="26"/>
    </row>
    <row r="112" spans="1:28" x14ac:dyDescent="0.25">
      <c r="A112" s="31"/>
      <c r="B112" s="24"/>
      <c r="C112" s="22"/>
      <c r="D112" s="22"/>
      <c r="E112" s="8"/>
      <c r="F112" s="8"/>
      <c r="G112" s="8"/>
      <c r="H112" s="8"/>
      <c r="I112" s="22"/>
      <c r="J112" s="22"/>
      <c r="K112" s="22"/>
      <c r="L112" s="8"/>
      <c r="M112" s="22"/>
      <c r="N112" s="29"/>
      <c r="O112" s="22"/>
      <c r="P112" s="22"/>
      <c r="Q112" s="22"/>
      <c r="R112" s="22"/>
      <c r="S112" s="22"/>
      <c r="T112" s="29"/>
      <c r="U112" s="22"/>
      <c r="V112" s="29"/>
      <c r="W112" s="22"/>
      <c r="X112" s="29"/>
      <c r="Y112" s="22"/>
      <c r="Z112" s="29"/>
      <c r="AB112" s="26"/>
    </row>
    <row r="113" spans="1:28" x14ac:dyDescent="0.25">
      <c r="A113" s="31"/>
      <c r="B113" s="24"/>
      <c r="C113" s="22"/>
      <c r="D113" s="22"/>
      <c r="E113" s="8"/>
      <c r="F113" s="8"/>
      <c r="G113" s="8"/>
      <c r="H113" s="8"/>
      <c r="I113" s="22"/>
      <c r="J113" s="22"/>
      <c r="K113" s="22"/>
      <c r="L113" s="8"/>
      <c r="M113" s="22"/>
      <c r="N113" s="29"/>
      <c r="O113" s="22"/>
      <c r="P113" s="22"/>
      <c r="Q113" s="22"/>
      <c r="R113" s="22"/>
      <c r="S113" s="22"/>
      <c r="T113" s="29"/>
      <c r="U113" s="22"/>
      <c r="V113" s="29"/>
      <c r="W113" s="22"/>
      <c r="X113" s="29"/>
      <c r="Y113" s="22"/>
      <c r="Z113" s="29"/>
      <c r="AB113" s="26"/>
    </row>
    <row r="114" spans="1:28" x14ac:dyDescent="0.25">
      <c r="A114" s="31"/>
      <c r="B114" s="24"/>
      <c r="C114" s="22"/>
      <c r="D114" s="22"/>
      <c r="E114" s="8"/>
      <c r="F114" s="8"/>
      <c r="G114" s="8"/>
      <c r="H114" s="8"/>
      <c r="I114" s="22"/>
      <c r="J114" s="22"/>
      <c r="K114" s="22"/>
      <c r="L114" s="8"/>
      <c r="M114" s="22"/>
      <c r="N114" s="29"/>
      <c r="O114" s="22"/>
      <c r="P114" s="22"/>
      <c r="Q114" s="22"/>
      <c r="R114" s="22"/>
      <c r="S114" s="22"/>
      <c r="T114" s="29"/>
      <c r="U114" s="22"/>
      <c r="V114" s="29"/>
      <c r="W114" s="22"/>
      <c r="X114" s="29"/>
      <c r="Y114" s="22"/>
      <c r="Z114" s="29"/>
      <c r="AB114" s="26"/>
    </row>
    <row r="115" spans="1:28" x14ac:dyDescent="0.25">
      <c r="A115" s="31"/>
      <c r="B115" s="24"/>
      <c r="C115" s="22"/>
      <c r="D115" s="22"/>
      <c r="E115" s="8"/>
      <c r="F115" s="8"/>
      <c r="G115" s="8"/>
      <c r="H115" s="8"/>
      <c r="I115" s="22"/>
      <c r="J115" s="22"/>
      <c r="K115" s="22"/>
      <c r="L115" s="8"/>
      <c r="M115" s="22"/>
      <c r="N115" s="29"/>
      <c r="O115" s="22"/>
      <c r="P115" s="22"/>
      <c r="Q115" s="22"/>
      <c r="R115" s="22"/>
      <c r="S115" s="22"/>
      <c r="T115" s="29"/>
      <c r="U115" s="22"/>
      <c r="V115" s="29"/>
      <c r="W115" s="22"/>
      <c r="X115" s="29"/>
      <c r="Y115" s="22"/>
      <c r="Z115" s="29"/>
      <c r="AB115" s="26"/>
    </row>
  </sheetData>
  <autoFilter ref="A1:Z69">
    <filterColumn colId="4" showButton="0"/>
    <filterColumn colId="5" showButton="0"/>
    <filterColumn colId="6" showButton="0"/>
    <filterColumn colId="12" showButton="0"/>
    <filterColumn colId="13" showButton="0"/>
    <filterColumn colId="14" showButton="0"/>
    <filterColumn colId="15" showButton="0"/>
    <filterColumn colId="16" showButton="0"/>
    <filterColumn colId="18" showButton="0"/>
    <filterColumn colId="19" showButton="0"/>
    <filterColumn colId="20" showButton="0"/>
    <filterColumn colId="21" showButton="0"/>
    <filterColumn colId="22" showButton="0"/>
    <filterColumn colId="23" showButton="0"/>
    <filterColumn colId="24" showButton="0"/>
  </autoFilter>
  <sortState ref="B46:H63">
    <sortCondition ref="B46"/>
  </sortState>
  <mergeCells count="21">
    <mergeCell ref="S2:T2"/>
    <mergeCell ref="U2:V2"/>
    <mergeCell ref="W2:X2"/>
    <mergeCell ref="S1:Z1"/>
    <mergeCell ref="Y2:Z2"/>
    <mergeCell ref="M2:N2"/>
    <mergeCell ref="A1:A3"/>
    <mergeCell ref="B1:B3"/>
    <mergeCell ref="C1:C3"/>
    <mergeCell ref="D1:D3"/>
    <mergeCell ref="E2:E3"/>
    <mergeCell ref="F2:F3"/>
    <mergeCell ref="G2:G3"/>
    <mergeCell ref="H2:H3"/>
    <mergeCell ref="I1:I3"/>
    <mergeCell ref="K1:K3"/>
    <mergeCell ref="L1:L3"/>
    <mergeCell ref="M1:R1"/>
    <mergeCell ref="O2:P2"/>
    <mergeCell ref="E1:H1"/>
    <mergeCell ref="Q2:R2"/>
  </mergeCells>
  <pageMargins left="0.7" right="0.7" top="0.75" bottom="0.75" header="0.3" footer="0.3"/>
  <pageSetup paperSize="9" scale="71" fitToHeight="0" orientation="landscape" r:id="rId1"/>
  <ignoredErrors>
    <ignoredError sqref="U3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
  <sheetViews>
    <sheetView tabSelected="1" view="pageBreakPreview" topLeftCell="A3" zoomScale="60" zoomScaleNormal="60" workbookViewId="0">
      <selection activeCell="AF19" sqref="AF19"/>
    </sheetView>
  </sheetViews>
  <sheetFormatPr defaultRowHeight="15" x14ac:dyDescent="0.25"/>
  <cols>
    <col min="1" max="1" width="5.5703125" customWidth="1"/>
    <col min="2" max="2" width="100.5703125" customWidth="1"/>
    <col min="3" max="3" width="10.85546875" customWidth="1"/>
    <col min="4" max="4" width="13.140625" customWidth="1"/>
    <col min="5" max="5" width="15" customWidth="1"/>
    <col min="6" max="6" width="18.7109375" hidden="1" customWidth="1"/>
    <col min="7" max="7" width="20.140625" hidden="1" customWidth="1"/>
    <col min="8" max="8" width="11.7109375" hidden="1" customWidth="1"/>
    <col min="9" max="9" width="17.28515625" hidden="1" customWidth="1"/>
    <col min="10" max="10" width="11.7109375" hidden="1" customWidth="1"/>
    <col min="11" max="11" width="17.28515625" hidden="1" customWidth="1"/>
    <col min="12" max="13" width="9.140625" hidden="1" customWidth="1"/>
    <col min="14" max="14" width="11.5703125" hidden="1" customWidth="1"/>
    <col min="15" max="15" width="15.140625" hidden="1" customWidth="1"/>
    <col min="16" max="16" width="9.140625" hidden="1" customWidth="1"/>
    <col min="17" max="17" width="15.140625" hidden="1" customWidth="1"/>
    <col min="18" max="18" width="9.140625" hidden="1" customWidth="1"/>
    <col min="19" max="19" width="14.140625" hidden="1" customWidth="1"/>
    <col min="20" max="20" width="9.140625" hidden="1" customWidth="1"/>
    <col min="21" max="21" width="14.140625" hidden="1" customWidth="1"/>
  </cols>
  <sheetData>
    <row r="1" spans="1:21" ht="15.75" hidden="1" x14ac:dyDescent="0.25">
      <c r="E1" s="38" t="s">
        <v>138</v>
      </c>
    </row>
    <row r="2" spans="1:21" ht="15.75" hidden="1" x14ac:dyDescent="0.25">
      <c r="E2" s="37"/>
    </row>
    <row r="3" spans="1:21" ht="45.75" customHeight="1" x14ac:dyDescent="0.25">
      <c r="A3" s="45" t="s">
        <v>139</v>
      </c>
      <c r="B3" s="45"/>
      <c r="C3" s="45"/>
      <c r="D3" s="45"/>
      <c r="E3" s="45"/>
    </row>
    <row r="4" spans="1:21" ht="15.75" customHeight="1" x14ac:dyDescent="0.25">
      <c r="A4" s="40" t="s">
        <v>9</v>
      </c>
      <c r="B4" s="43" t="s">
        <v>0</v>
      </c>
      <c r="C4" s="43" t="s">
        <v>1</v>
      </c>
      <c r="D4" s="43" t="s">
        <v>2</v>
      </c>
      <c r="E4" s="43" t="s">
        <v>4</v>
      </c>
      <c r="F4" s="43" t="s">
        <v>5</v>
      </c>
      <c r="G4" s="43" t="s">
        <v>7</v>
      </c>
      <c r="H4" s="46" t="s">
        <v>10</v>
      </c>
      <c r="I4" s="46"/>
      <c r="J4" s="46"/>
      <c r="K4" s="46"/>
      <c r="L4" s="46"/>
      <c r="M4" s="46"/>
      <c r="N4" s="46" t="s">
        <v>18</v>
      </c>
      <c r="O4" s="46"/>
      <c r="P4" s="46"/>
      <c r="Q4" s="46"/>
      <c r="R4" s="46"/>
      <c r="S4" s="46"/>
      <c r="T4" s="46"/>
      <c r="U4" s="46"/>
    </row>
    <row r="5" spans="1:21" ht="15.75" customHeight="1" x14ac:dyDescent="0.25">
      <c r="A5" s="41"/>
      <c r="B5" s="43"/>
      <c r="C5" s="43"/>
      <c r="D5" s="43"/>
      <c r="E5" s="43"/>
      <c r="F5" s="43"/>
      <c r="G5" s="43"/>
      <c r="H5" s="46" t="s">
        <v>17</v>
      </c>
      <c r="I5" s="46"/>
      <c r="J5" s="46" t="s">
        <v>11</v>
      </c>
      <c r="K5" s="46"/>
      <c r="L5" s="46" t="s">
        <v>12</v>
      </c>
      <c r="M5" s="46"/>
      <c r="N5" s="46" t="s">
        <v>22</v>
      </c>
      <c r="O5" s="46"/>
      <c r="P5" s="46" t="s">
        <v>19</v>
      </c>
      <c r="Q5" s="46"/>
      <c r="R5" s="46" t="s">
        <v>20</v>
      </c>
      <c r="S5" s="46"/>
      <c r="T5" s="46" t="s">
        <v>21</v>
      </c>
      <c r="U5" s="46"/>
    </row>
    <row r="6" spans="1:21" ht="15.75" x14ac:dyDescent="0.25">
      <c r="A6" s="42"/>
      <c r="B6" s="43"/>
      <c r="C6" s="43"/>
      <c r="D6" s="43"/>
      <c r="E6" s="43"/>
      <c r="F6" s="43"/>
      <c r="G6" s="43"/>
      <c r="H6" s="6" t="s">
        <v>14</v>
      </c>
      <c r="I6" s="6" t="s">
        <v>15</v>
      </c>
      <c r="J6" s="6" t="s">
        <v>13</v>
      </c>
      <c r="K6" s="6" t="s">
        <v>15</v>
      </c>
      <c r="L6" s="6" t="s">
        <v>13</v>
      </c>
      <c r="M6" s="6" t="s">
        <v>15</v>
      </c>
      <c r="N6" s="6" t="s">
        <v>13</v>
      </c>
      <c r="O6" s="6" t="s">
        <v>15</v>
      </c>
      <c r="P6" s="6" t="s">
        <v>13</v>
      </c>
      <c r="Q6" s="6" t="s">
        <v>15</v>
      </c>
      <c r="R6" s="6" t="s">
        <v>13</v>
      </c>
      <c r="S6" s="6" t="s">
        <v>15</v>
      </c>
      <c r="T6" s="6" t="s">
        <v>13</v>
      </c>
      <c r="U6" s="6" t="s">
        <v>15</v>
      </c>
    </row>
    <row r="7" spans="1:21" ht="31.5" x14ac:dyDescent="0.25">
      <c r="A7" s="10">
        <v>1</v>
      </c>
      <c r="B7" s="28" t="str">
        <f>Общее!B30</f>
        <v>Ремонт пер. Бараташвили от ПК00+00 (ул. Краснодонская) до ПК02+21 и ПК0+000 (дом №5) до ПК00+37 и ПК0+000 (дома № 14А) ПК00+84 в Центральном районе города Сочи</v>
      </c>
      <c r="C7" s="21">
        <f>Общее!C30</f>
        <v>0.34200000000000003</v>
      </c>
      <c r="D7" s="22">
        <f>Общее!D30</f>
        <v>1641</v>
      </c>
      <c r="E7" s="1" t="str">
        <f>Общее!I30</f>
        <v>асф.</v>
      </c>
      <c r="F7" s="4" t="str">
        <f>Общее!K30</f>
        <v>В адрес администрации города Сочи поступало обращение о необходимости ремонта дорожного полотна</v>
      </c>
      <c r="G7" s="2">
        <f>Общее!L30</f>
        <v>1926581</v>
      </c>
      <c r="H7" s="1">
        <f>Общее!M30</f>
        <v>0</v>
      </c>
      <c r="I7" s="3">
        <f>Общее!N30</f>
        <v>0</v>
      </c>
      <c r="J7" s="1">
        <f>Общее!O30</f>
        <v>0</v>
      </c>
      <c r="K7" s="1">
        <f>Общее!P30</f>
        <v>0</v>
      </c>
      <c r="L7" s="1">
        <f>Общее!Q30</f>
        <v>0</v>
      </c>
      <c r="M7" s="3">
        <f>Общее!R30</f>
        <v>0</v>
      </c>
      <c r="N7" s="1">
        <f>Общее!S30</f>
        <v>0</v>
      </c>
      <c r="O7" s="3">
        <f>Общее!T30</f>
        <v>0</v>
      </c>
      <c r="P7" s="1">
        <f>Общее!U30</f>
        <v>5.4</v>
      </c>
      <c r="Q7" s="3">
        <f>Общее!V30</f>
        <v>14930.833816080001</v>
      </c>
      <c r="R7" s="1">
        <f>Общее!W30</f>
        <v>0</v>
      </c>
      <c r="S7" s="3">
        <f>Общее!X30</f>
        <v>0</v>
      </c>
      <c r="T7" s="1">
        <f>Общее!Y30</f>
        <v>0</v>
      </c>
      <c r="U7" s="3">
        <f>Общее!Z30</f>
        <v>0</v>
      </c>
    </row>
    <row r="8" spans="1:21" ht="31.5" x14ac:dyDescent="0.25">
      <c r="A8" s="10">
        <v>2</v>
      </c>
      <c r="B8" s="28" t="str">
        <f>Общее!B31</f>
        <v>Ремонт ул. Несебрской от ПК00+000 (ул. Конституции СССР) до ПК08+45 (ул. Войкова)  в Центральном районе города Сочи</v>
      </c>
      <c r="C8" s="21">
        <f>Общее!C31</f>
        <v>0.84499999999999997</v>
      </c>
      <c r="D8" s="22">
        <f>Общее!D31</f>
        <v>9292</v>
      </c>
      <c r="E8" s="1" t="str">
        <f>Общее!I31</f>
        <v>асф.</v>
      </c>
      <c r="F8" s="4" t="str">
        <f>Общее!K31</f>
        <v>Предписание ОГИБДД, обращение граждан</v>
      </c>
      <c r="G8" s="2">
        <f>Общее!L31</f>
        <v>8255793</v>
      </c>
      <c r="H8" s="1">
        <f>Общее!M31</f>
        <v>0</v>
      </c>
      <c r="I8" s="3">
        <f>Общее!N31</f>
        <v>0</v>
      </c>
      <c r="J8" s="1">
        <f>Общее!O31</f>
        <v>859.43520000000001</v>
      </c>
      <c r="K8" s="1">
        <f>Общее!P31</f>
        <v>368200.20023332414</v>
      </c>
      <c r="L8" s="1">
        <f>Общее!Q31</f>
        <v>0</v>
      </c>
      <c r="M8" s="3">
        <f>Общее!R31</f>
        <v>0</v>
      </c>
      <c r="N8" s="1">
        <f>Общее!S31</f>
        <v>0</v>
      </c>
      <c r="O8" s="3">
        <f>Общее!T31</f>
        <v>0</v>
      </c>
      <c r="P8" s="1">
        <f>Общее!U31</f>
        <v>9.9</v>
      </c>
      <c r="Q8" s="3">
        <f>Общее!V31</f>
        <v>27373.195329480001</v>
      </c>
      <c r="R8" s="1">
        <f>Общее!W31</f>
        <v>0</v>
      </c>
      <c r="S8" s="3">
        <f>Общее!X31</f>
        <v>0</v>
      </c>
      <c r="T8" s="1">
        <f>Общее!Y31</f>
        <v>0</v>
      </c>
      <c r="U8" s="3">
        <f>Общее!Z31</f>
        <v>0</v>
      </c>
    </row>
    <row r="9" spans="1:21" ht="78.75" x14ac:dyDescent="0.25">
      <c r="A9" s="10">
        <v>3</v>
      </c>
      <c r="B9" s="28" t="str">
        <f>Общее!B32</f>
        <v>Ремонт ул. Конституции СССР от ПК00+00 (ул. Пластунская) до ПК16+00 (Автодорожный мост через р. Сочи с устройством транспортной развязки в районе Краснодарского кольца) и от ПК00+00 (Автодорожный мост через р. Сочи с устройством транспортной развязки в районе Краснодарского кольца) до ПК06+50 и от ПК00+00 (дом № 42) до ПК17+30 (ул. Несебрская) в Центральном районе города Сочи</v>
      </c>
      <c r="C9" s="21">
        <f>Общее!C32</f>
        <v>3.98</v>
      </c>
      <c r="D9" s="22">
        <f>Общее!D32</f>
        <v>46955</v>
      </c>
      <c r="E9" s="1" t="str">
        <f>Общее!I32</f>
        <v>асф.</v>
      </c>
      <c r="F9" s="4">
        <f>Общее!K32</f>
        <v>0</v>
      </c>
      <c r="G9" s="2">
        <f>Общее!L32</f>
        <v>42490552</v>
      </c>
      <c r="H9" s="1">
        <f>Общее!M32</f>
        <v>0</v>
      </c>
      <c r="I9" s="3">
        <f>Общее!N32</f>
        <v>0</v>
      </c>
      <c r="J9" s="1">
        <f>Общее!O32</f>
        <v>4259.268</v>
      </c>
      <c r="K9" s="1">
        <f>Общее!P32</f>
        <v>1917876.3800300208</v>
      </c>
      <c r="L9" s="1">
        <f>Общее!Q32</f>
        <v>0</v>
      </c>
      <c r="M9" s="3">
        <f>Общее!R32</f>
        <v>0</v>
      </c>
      <c r="N9" s="1">
        <f>Общее!S32</f>
        <v>0</v>
      </c>
      <c r="O9" s="3">
        <f>Общее!T32</f>
        <v>0</v>
      </c>
      <c r="P9" s="1">
        <f>Общее!U32</f>
        <v>130.5</v>
      </c>
      <c r="Q9" s="3">
        <f>Общее!V32</f>
        <v>360828.48388860002</v>
      </c>
      <c r="R9" s="1">
        <f>Общее!W32</f>
        <v>0</v>
      </c>
      <c r="S9" s="3">
        <f>Общее!X32</f>
        <v>0</v>
      </c>
      <c r="T9" s="1">
        <f>Общее!Y32</f>
        <v>0</v>
      </c>
      <c r="U9" s="3">
        <f>Общее!Z32</f>
        <v>0</v>
      </c>
    </row>
    <row r="10" spans="1:21" ht="31.5" x14ac:dyDescent="0.25">
      <c r="A10" s="10">
        <v>4</v>
      </c>
      <c r="B10" s="28" t="str">
        <f>Общее!B33</f>
        <v>Ремонт пер. Донского от ПК01+00 (ПК00+00 ул. Пасечная) до ПК06+00 в Центральном районе города Сочи</v>
      </c>
      <c r="C10" s="21">
        <f>Общее!C33</f>
        <v>0.5</v>
      </c>
      <c r="D10" s="22">
        <f>Общее!D33</f>
        <v>3940</v>
      </c>
      <c r="E10" s="1" t="str">
        <f>Общее!I33</f>
        <v>асф.</v>
      </c>
      <c r="F10" s="4" t="str">
        <f>Общее!K33</f>
        <v>Администрации города Сочи выдано предписание ГИБДД УВД по городу Сочи ГУ МВД России по Краснодарскому краю №23 ДН000318 об устранении повреждений проезжей части данной автомобильной дороги, поручение Главы города Сочи.</v>
      </c>
      <c r="G10" s="2">
        <f>Общее!L33</f>
        <v>5685364</v>
      </c>
      <c r="H10" s="1">
        <f>Общее!M33</f>
        <v>49.61</v>
      </c>
      <c r="I10" s="3">
        <f>Общее!N33</f>
        <v>60370.746228936005</v>
      </c>
      <c r="J10" s="1">
        <f>Общее!O33</f>
        <v>0</v>
      </c>
      <c r="K10" s="1">
        <f>Общее!P33</f>
        <v>0</v>
      </c>
      <c r="L10" s="1">
        <f>Общее!Q33</f>
        <v>0</v>
      </c>
      <c r="M10" s="3">
        <f>Общее!R33</f>
        <v>0</v>
      </c>
      <c r="N10" s="1">
        <f>Общее!S33</f>
        <v>0</v>
      </c>
      <c r="O10" s="3">
        <f>Общее!T33</f>
        <v>0</v>
      </c>
      <c r="P10" s="1">
        <f>Общее!U33</f>
        <v>79.704000000000008</v>
      </c>
      <c r="Q10" s="3">
        <f>Общее!V33</f>
        <v>220379.10712534082</v>
      </c>
      <c r="R10" s="1">
        <f>Общее!W33</f>
        <v>0</v>
      </c>
      <c r="S10" s="3">
        <f>Общее!X33</f>
        <v>0</v>
      </c>
      <c r="T10" s="1">
        <f>Общее!Y33</f>
        <v>18.71</v>
      </c>
      <c r="U10" s="3">
        <f>Общее!Z33</f>
        <v>51732.574203492004</v>
      </c>
    </row>
    <row r="11" spans="1:21" ht="31.5" x14ac:dyDescent="0.25">
      <c r="A11" s="10">
        <v>5</v>
      </c>
      <c r="B11" s="28" t="str">
        <f>Общее!B34</f>
        <v>Ремонт пер. Заводского от ПК00+00  (ул. Конституции СССР) до ПК01+38 в Центральном районе города Сочи</v>
      </c>
      <c r="C11" s="21">
        <f>Общее!C34</f>
        <v>0.13800000000000001</v>
      </c>
      <c r="D11" s="22">
        <f>Общее!D34</f>
        <v>897</v>
      </c>
      <c r="E11" s="1" t="str">
        <f>Общее!I34</f>
        <v>асф.</v>
      </c>
      <c r="F11" s="4" t="str">
        <f>Общее!K34</f>
        <v>Данная автомобильная дорога является подъездной к кварталу жилой застройки</v>
      </c>
      <c r="G11" s="2">
        <f>Общее!L34</f>
        <v>1637707</v>
      </c>
      <c r="H11" s="1">
        <f>Общее!M34</f>
        <v>0</v>
      </c>
      <c r="I11" s="3">
        <f>Общее!N34</f>
        <v>0</v>
      </c>
      <c r="J11" s="1">
        <f>Общее!O34</f>
        <v>18.251999999999999</v>
      </c>
      <c r="K11" s="3">
        <f>Общее!P34</f>
        <v>8019.0547701263995</v>
      </c>
      <c r="L11" s="1">
        <f>Общее!Q34</f>
        <v>0</v>
      </c>
      <c r="M11" s="3">
        <f>Общее!R34</f>
        <v>0</v>
      </c>
      <c r="N11" s="1">
        <f>Общее!S34</f>
        <v>0</v>
      </c>
      <c r="O11" s="3">
        <f>Общее!T34</f>
        <v>0</v>
      </c>
      <c r="P11" s="1">
        <f>Общее!U34</f>
        <v>0</v>
      </c>
      <c r="Q11" s="3">
        <f>Общее!V34</f>
        <v>0</v>
      </c>
      <c r="R11" s="1">
        <f>Общее!W34</f>
        <v>0</v>
      </c>
      <c r="S11" s="3">
        <f>Общее!X34</f>
        <v>0</v>
      </c>
      <c r="T11" s="1">
        <f>Общее!Y34</f>
        <v>0</v>
      </c>
      <c r="U11" s="3">
        <f>Общее!Z34</f>
        <v>0</v>
      </c>
    </row>
    <row r="12" spans="1:21" ht="31.5" x14ac:dyDescent="0.25">
      <c r="A12" s="10">
        <v>6</v>
      </c>
      <c r="B12" s="28" t="str">
        <f>Общее!B35</f>
        <v>Ремонт ул. Красной от ПК00+00 (ул. Пионерская) до ПК15+80 в Центральном районе города Сочи</v>
      </c>
      <c r="C12" s="21">
        <f>Общее!C35</f>
        <v>1.58</v>
      </c>
      <c r="D12" s="22">
        <f>Общее!D35</f>
        <v>7410</v>
      </c>
      <c r="E12" s="1" t="str">
        <f>Общее!I35</f>
        <v>асф.</v>
      </c>
      <c r="F12" s="4" t="str">
        <f>Общее!K35</f>
        <v>Предписание ОГИБДД, письмо администрации района</v>
      </c>
      <c r="G12" s="2">
        <f>Общее!L35</f>
        <v>10131699</v>
      </c>
      <c r="H12" s="1">
        <f>Общее!M35</f>
        <v>18.86</v>
      </c>
      <c r="I12" s="3">
        <f>Общее!N35</f>
        <v>21530.89899636</v>
      </c>
      <c r="J12" s="1">
        <f>Общее!O35</f>
        <v>0</v>
      </c>
      <c r="K12" s="3">
        <f>Общее!P35</f>
        <v>0</v>
      </c>
      <c r="L12" s="1">
        <f>Общее!Q35</f>
        <v>0</v>
      </c>
      <c r="M12" s="3">
        <f>Общее!R35</f>
        <v>0</v>
      </c>
      <c r="N12" s="1">
        <f>Общее!S35</f>
        <v>0</v>
      </c>
      <c r="O12" s="3">
        <f>Общее!T35</f>
        <v>0</v>
      </c>
      <c r="P12" s="1">
        <f>Общее!U35</f>
        <v>195.6</v>
      </c>
      <c r="Q12" s="3">
        <f>Общее!V35</f>
        <v>540827.98044911993</v>
      </c>
      <c r="R12" s="1">
        <f>Общее!W35</f>
        <v>0</v>
      </c>
      <c r="S12" s="3">
        <f>Общее!X35</f>
        <v>0</v>
      </c>
      <c r="T12" s="1">
        <f>Общее!Y35</f>
        <v>0</v>
      </c>
      <c r="U12" s="3">
        <f>Общее!Z35</f>
        <v>0</v>
      </c>
    </row>
    <row r="13" spans="1:21" ht="15.75" x14ac:dyDescent="0.25">
      <c r="A13" s="10">
        <v>7</v>
      </c>
      <c r="B13" s="28" t="str">
        <f>Общее!B36</f>
        <v>Ремонт пер. Чехова от ПК00+00 (ул. Донская) до ПК03+74 в Центральном районе города Сочи</v>
      </c>
      <c r="C13" s="21">
        <f>Общее!C36</f>
        <v>0.374</v>
      </c>
      <c r="D13" s="22">
        <f>Общее!D36</f>
        <v>3179</v>
      </c>
      <c r="E13" s="1" t="str">
        <f>Общее!I36</f>
        <v>асф.</v>
      </c>
      <c r="F13" s="4" t="str">
        <f>Общее!K36</f>
        <v>В адрес администрации города Сочи поступали многочисленные обращения жителей о необходимости ремонта дорожного полотна.</v>
      </c>
      <c r="G13" s="2">
        <f>Общее!L36</f>
        <v>4218278</v>
      </c>
      <c r="H13" s="1">
        <f>Общее!M36</f>
        <v>5.94</v>
      </c>
      <c r="I13" s="3">
        <f>Общее!N36</f>
        <v>7317.8554775039993</v>
      </c>
      <c r="J13" s="1">
        <f>Общее!O36</f>
        <v>29.952000000000002</v>
      </c>
      <c r="K13" s="3">
        <f>Общее!P36</f>
        <v>13159.474494566399</v>
      </c>
      <c r="L13" s="1">
        <f>Общее!Q36</f>
        <v>0</v>
      </c>
      <c r="M13" s="3">
        <f>Общее!R36</f>
        <v>0</v>
      </c>
      <c r="N13" s="1">
        <f>Общее!S36</f>
        <v>0</v>
      </c>
      <c r="O13" s="3">
        <f>Общее!T36</f>
        <v>0</v>
      </c>
      <c r="P13" s="1">
        <f>Общее!U36</f>
        <v>43.2</v>
      </c>
      <c r="Q13" s="3">
        <f>Общее!V36</f>
        <v>119446.67052864001</v>
      </c>
      <c r="R13" s="1">
        <f>Общее!W36</f>
        <v>0</v>
      </c>
      <c r="S13" s="3">
        <f>Общее!X36</f>
        <v>0</v>
      </c>
      <c r="T13" s="1">
        <f>Общее!Y36</f>
        <v>13.904999999999999</v>
      </c>
      <c r="U13" s="3">
        <f>Общее!Z36</f>
        <v>38446.897076406</v>
      </c>
    </row>
    <row r="14" spans="1:21" ht="15.75" x14ac:dyDescent="0.25">
      <c r="A14" s="10">
        <v>8</v>
      </c>
      <c r="B14" s="28" t="str">
        <f>Общее!B37</f>
        <v>Ремонт ул. Анапской от ПК00+00 (дом № 25) до ПК04+00 в Центральном районе города Сочи</v>
      </c>
      <c r="C14" s="21">
        <f>Общее!C37</f>
        <v>0.4</v>
      </c>
      <c r="D14" s="22">
        <f>Общее!D37</f>
        <v>2600</v>
      </c>
      <c r="E14" s="1" t="str">
        <f>Общее!I37</f>
        <v>асф.</v>
      </c>
      <c r="F14" s="4" t="str">
        <f>Общее!K37</f>
        <v>Обращения граждан (6 шт.), поругение Главы города Сочи. Также по данной автомобильной дороге осуществляются регулярные пассажирские перевозки маршрутами: №30, (ул. Дагомысская  (ост. 4-я гор. больница) – ул. Полтавская) и №119 (ул. Навагинская (ост. ж/д вокзал Сочи) - село Васильевка). Данная автомобильная дорога является подъездной к санаторию "Ставрополье" и санаторию "Октябрьский", ГКОУ школа-интернат № 2, а также к филиалу Российского Государственного Социального Университета</v>
      </c>
      <c r="G14" s="2">
        <f>Общее!L37</f>
        <v>3861116</v>
      </c>
      <c r="H14" s="1">
        <f>Общее!M37</f>
        <v>7.0600000000000005</v>
      </c>
      <c r="I14" s="3">
        <f>Общее!N37</f>
        <v>9229.1982247920005</v>
      </c>
      <c r="J14" s="1">
        <f>Общее!O37</f>
        <v>0</v>
      </c>
      <c r="K14" s="3">
        <f>Общее!P37</f>
        <v>0</v>
      </c>
      <c r="L14" s="1">
        <f>Общее!Q37</f>
        <v>0</v>
      </c>
      <c r="M14" s="3">
        <f>Общее!R37</f>
        <v>0</v>
      </c>
      <c r="N14" s="1">
        <f>Общее!S37</f>
        <v>0</v>
      </c>
      <c r="O14" s="3">
        <f>Общее!T37</f>
        <v>0</v>
      </c>
      <c r="P14" s="1">
        <f>Общее!U37</f>
        <v>72.240799999999993</v>
      </c>
      <c r="Q14" s="3">
        <f>Общее!V37</f>
        <v>199743.58880382814</v>
      </c>
      <c r="R14" s="1">
        <f>Общее!W37</f>
        <v>0</v>
      </c>
      <c r="S14" s="3">
        <f>Общее!X37</f>
        <v>0</v>
      </c>
      <c r="T14" s="1">
        <f>Общее!Y37</f>
        <v>8.5950000000000006</v>
      </c>
      <c r="U14" s="3">
        <f>Общее!Z37</f>
        <v>23764.910490594</v>
      </c>
    </row>
    <row r="15" spans="1:21" ht="31.5" x14ac:dyDescent="0.25">
      <c r="A15" s="10">
        <v>9</v>
      </c>
      <c r="B15" s="28" t="str">
        <f>Общее!B38</f>
        <v>Ремонт ул. Волжской от ПК0+000 (ул. Виноградная) до ПК13+30 в Центральном районе города Сочи</v>
      </c>
      <c r="C15" s="21">
        <f>Общее!C38</f>
        <v>1.33</v>
      </c>
      <c r="D15" s="22">
        <f>Общее!D38</f>
        <v>9975</v>
      </c>
      <c r="E15" s="1" t="str">
        <f>Общее!I38</f>
        <v>асф.</v>
      </c>
      <c r="F15" s="4" t="str">
        <f>Общее!K38</f>
        <v>Автомобильная дорога находится в ненормативном состоянии. В адрес администрации города Сочи направлено предписание ГИБДД УВД по городу Сочи ГУ МВД России по Краснодарскому краю об устранении повреждений проезжей части на данной автомобильной дороге. По данной автомобильной дороге осуществляются регулярные пассажирские перевозки маршрутами: №30, (ул. Дагомысская  (ост. 4-я гор. больница) – ул. Полтавская), №83 (ул. Крымская -  ул. Донская  - ост. к/т Аэлита - ул. Бытха) и №119 (ул. Навагинская (ост. ж/д вокзал Сочи) - село Васильевка). Данная автомобильная дорога является подъездной к санаторию "Ставрополье" и санаторию "Октябрьский", ГКОУ школа-интернат № 2, а также к филиалу Российского Государственного Социального Университета</v>
      </c>
      <c r="G15" s="2">
        <f>Общее!L38</f>
        <v>11943508</v>
      </c>
      <c r="H15" s="1">
        <f>Общее!M38</f>
        <v>38.5</v>
      </c>
      <c r="I15" s="3">
        <f>Общее!N38</f>
        <v>50908.830172200011</v>
      </c>
      <c r="J15" s="1">
        <f>Общее!O38</f>
        <v>0</v>
      </c>
      <c r="K15" s="3">
        <f>Общее!P38</f>
        <v>0</v>
      </c>
      <c r="L15" s="1">
        <f>Общее!Q38</f>
        <v>0</v>
      </c>
      <c r="M15" s="3">
        <f>Общее!R38</f>
        <v>0</v>
      </c>
      <c r="N15" s="1">
        <f>Общее!S38</f>
        <v>0</v>
      </c>
      <c r="O15" s="3">
        <f>Общее!T38</f>
        <v>0</v>
      </c>
      <c r="P15" s="1">
        <f>Общее!U38</f>
        <v>48.4</v>
      </c>
      <c r="Q15" s="3">
        <f>Общее!V38</f>
        <v>133824.51049968001</v>
      </c>
      <c r="R15" s="1">
        <f>Общее!W38</f>
        <v>0</v>
      </c>
      <c r="S15" s="3">
        <f>Общее!X38</f>
        <v>0</v>
      </c>
      <c r="T15" s="1">
        <f>Общее!Y38</f>
        <v>90.125</v>
      </c>
      <c r="U15" s="3">
        <f>Общее!Z38</f>
        <v>249192.85142115</v>
      </c>
    </row>
    <row r="16" spans="1:21" ht="31.5" x14ac:dyDescent="0.25">
      <c r="A16" s="10">
        <v>10</v>
      </c>
      <c r="B16" s="28" t="str">
        <f>Общее!B39</f>
        <v>Ремонт ул. Докучаева от ПК00+00 (ул. Альпийская) до ПК05+12 в Центральном районе города Сочи</v>
      </c>
      <c r="C16" s="21">
        <f>Общее!C39</f>
        <v>0.51200000000000001</v>
      </c>
      <c r="D16" s="22">
        <f>Общее!D39</f>
        <v>2304</v>
      </c>
      <c r="E16" s="1" t="str">
        <f>Общее!I39</f>
        <v>асф.</v>
      </c>
      <c r="F16" s="4" t="str">
        <f>Общее!K39</f>
        <v>По данной автомобильной дороге осуществляются регулярные пассажирские перевозки маршруту №24 (мор.вокзал Сочи - мемориал - ул. Альпийская (ост. ул. Докучаева))</v>
      </c>
      <c r="G16" s="2">
        <f>Общее!L39</f>
        <v>4022280</v>
      </c>
      <c r="H16" s="1">
        <f>Общее!M39</f>
        <v>24.62</v>
      </c>
      <c r="I16" s="1">
        <f>Общее!N39</f>
        <v>29218.917263951997</v>
      </c>
      <c r="J16" s="1">
        <f>Общее!O39</f>
        <v>28.803999999999998</v>
      </c>
      <c r="K16" s="3">
        <f>Общее!P39</f>
        <v>11710.530217464</v>
      </c>
      <c r="L16" s="1">
        <f>Общее!Q39</f>
        <v>0</v>
      </c>
      <c r="M16" s="3">
        <f>Общее!R39</f>
        <v>0</v>
      </c>
      <c r="N16" s="1">
        <f>Общее!S39</f>
        <v>0</v>
      </c>
      <c r="O16" s="3">
        <f>Общее!T39</f>
        <v>0</v>
      </c>
      <c r="P16" s="1">
        <f>Общее!U39</f>
        <v>24.523</v>
      </c>
      <c r="Q16" s="3">
        <f>Общее!V39</f>
        <v>67805.340309579595</v>
      </c>
      <c r="R16" s="1">
        <f>Общее!W39</f>
        <v>7.8840000000000003</v>
      </c>
      <c r="S16" s="3">
        <f>Общее!X39</f>
        <v>21799.017371476803</v>
      </c>
      <c r="T16" s="1">
        <f>Общее!Y39</f>
        <v>34.505000000000003</v>
      </c>
      <c r="U16" s="3">
        <f>Общее!Z39</f>
        <v>95405.263115526002</v>
      </c>
    </row>
    <row r="17" spans="1:21" ht="15.75" x14ac:dyDescent="0.25">
      <c r="A17" s="10">
        <v>11</v>
      </c>
      <c r="B17" s="28" t="str">
        <f>Общее!B40</f>
        <v>Ремонт ул. Загородной от ПК00+00 (дом № 22) до ПК05+10  в Центральном районе города Сочи</v>
      </c>
      <c r="C17" s="21">
        <f>Общее!C40</f>
        <v>0.51</v>
      </c>
      <c r="D17" s="22">
        <f>Общее!D40</f>
        <v>2269.5</v>
      </c>
      <c r="E17" s="1" t="str">
        <f>Общее!I40</f>
        <v>асф.</v>
      </c>
      <c r="F17" s="4" t="str">
        <f>Общее!K40</f>
        <v>В управление делами Президента РФ поступило коллективное обращение жителей района Мамайка о необходимости проведения ремонта на данной улице.</v>
      </c>
      <c r="G17" s="2">
        <f>Общее!L40</f>
        <v>3223632</v>
      </c>
      <c r="H17" s="1">
        <f>Общее!M40</f>
        <v>18.86</v>
      </c>
      <c r="I17" s="3">
        <f>Общее!N40</f>
        <v>24370.586799935998</v>
      </c>
      <c r="J17" s="1">
        <f>Общее!O40</f>
        <v>0</v>
      </c>
      <c r="K17" s="3">
        <f>Общее!P40</f>
        <v>0</v>
      </c>
      <c r="L17" s="1">
        <f>Общее!Q40</f>
        <v>0</v>
      </c>
      <c r="M17" s="3">
        <f>Общее!R40</f>
        <v>0</v>
      </c>
      <c r="N17" s="1">
        <f>Общее!S40</f>
        <v>0</v>
      </c>
      <c r="O17" s="3">
        <f>Общее!T40</f>
        <v>0</v>
      </c>
      <c r="P17" s="1">
        <f>Общее!U40</f>
        <v>63.8</v>
      </c>
      <c r="Q17" s="3">
        <f>Общее!V40</f>
        <v>176405.03656775999</v>
      </c>
      <c r="R17" s="1">
        <f>Общее!W40</f>
        <v>0</v>
      </c>
      <c r="S17" s="3">
        <f>Общее!X40</f>
        <v>0</v>
      </c>
      <c r="T17" s="1">
        <f>Общее!Y40</f>
        <v>0</v>
      </c>
      <c r="U17" s="3">
        <f>Общее!Z40</f>
        <v>0</v>
      </c>
    </row>
    <row r="18" spans="1:21" ht="31.5" x14ac:dyDescent="0.25">
      <c r="A18" s="10">
        <v>12</v>
      </c>
      <c r="B18" s="28" t="str">
        <f>Общее!B41</f>
        <v>Ремонт ул. Полтавской от ПК00+00 (дом № 72 по ул. Волжская) до ПК13+33 и ПК00+00 (дом № 10) до ПК02+02 в Центральном районе города Сочи</v>
      </c>
      <c r="C18" s="21">
        <f>Общее!C41</f>
        <v>1.5349999999999999</v>
      </c>
      <c r="D18" s="22">
        <f>Общее!D41</f>
        <v>9379.4</v>
      </c>
      <c r="E18" s="1" t="str">
        <f>Общее!I41</f>
        <v>асф.</v>
      </c>
      <c r="F18" s="4" t="str">
        <f>Общее!K41</f>
        <v>В адрес администрации города Сочи поступало обращение жителей о необходимости ремонта дорожного полотна. По данной автомобильной дороге осуществляются регулярные пассажирские перевозки маршруту №30 (ул. Дагомысская  (ост. 4-я гор. больница) – ул. Полтавская). Данная автомобильная дорога является подъездной к санаторию "Ставрополье" и санаторию "Октябрьский", ГКОУ школа-интернат № 2, а также к филиалу Российского Государственного Социального Университета</v>
      </c>
      <c r="G18" s="2">
        <f>Общее!L41</f>
        <v>12250064</v>
      </c>
      <c r="H18" s="1">
        <f>Общее!M41</f>
        <v>10.35</v>
      </c>
      <c r="I18" s="1">
        <f>Общее!N41</f>
        <v>13530.05688762</v>
      </c>
      <c r="J18" s="1">
        <f>Общее!O41</f>
        <v>0</v>
      </c>
      <c r="K18" s="3">
        <f>Общее!P41</f>
        <v>0</v>
      </c>
      <c r="L18" s="1">
        <f>Общее!Q41</f>
        <v>0</v>
      </c>
      <c r="M18" s="3">
        <f>Общее!R41</f>
        <v>0</v>
      </c>
      <c r="N18" s="1">
        <f>Общее!S41</f>
        <v>0</v>
      </c>
      <c r="O18" s="3">
        <f>Общее!T41</f>
        <v>0</v>
      </c>
      <c r="P18" s="1">
        <f>Общее!U41</f>
        <v>172.21</v>
      </c>
      <c r="Q18" s="3">
        <f>Общее!V41</f>
        <v>476155.35027169203</v>
      </c>
      <c r="R18" s="1">
        <f>Общее!W41</f>
        <v>11.664</v>
      </c>
      <c r="S18" s="3">
        <f>Общее!X41</f>
        <v>32250.6010427328</v>
      </c>
      <c r="T18" s="1">
        <f>Общее!Y41</f>
        <v>24.204999999999998</v>
      </c>
      <c r="U18" s="3">
        <f>Общее!Z41</f>
        <v>66926.080095965997</v>
      </c>
    </row>
    <row r="19" spans="1:21" ht="31.5" x14ac:dyDescent="0.25">
      <c r="A19" s="10">
        <v>13</v>
      </c>
      <c r="B19" s="28" t="str">
        <f>Общее!B42</f>
        <v>Ремонт ул. Севастопольской от ПК00+00 (ул. Тоннельная) до ПК07+80 (ул. Альпийская) в Центральном районе города Сочи</v>
      </c>
      <c r="C19" s="21">
        <f>Общее!C42</f>
        <v>0.78</v>
      </c>
      <c r="D19" s="22">
        <f>Общее!D42</f>
        <v>6864</v>
      </c>
      <c r="E19" s="1" t="str">
        <f>Общее!I42</f>
        <v>асф.</v>
      </c>
      <c r="F19" s="4" t="str">
        <f>Общее!K42</f>
        <v>Обращение граждан. По данной автомобильной дороге осуществляются регулярные пассажирские перевозки маршрутам: №15 (мор.вокзал Сочи - ул. Альпийская  (Видовая башня) (кольцевой), №24 (мор.вокзал Сочи - мемориал - ул. Альпийская (ост. ул. Докучаева)</v>
      </c>
      <c r="G19" s="2">
        <f>Общее!L42</f>
        <v>8242364</v>
      </c>
      <c r="H19" s="1">
        <f>Общее!M42</f>
        <v>29.89</v>
      </c>
      <c r="I19" s="3">
        <f>Общее!N42</f>
        <v>36373.344180264001</v>
      </c>
      <c r="J19" s="1">
        <f>Общее!O42</f>
        <v>24.803999999999998</v>
      </c>
      <c r="K19" s="3">
        <f>Общее!P42</f>
        <v>10626.557728363201</v>
      </c>
      <c r="L19" s="1">
        <f>Общее!Q42</f>
        <v>0</v>
      </c>
      <c r="M19" s="1">
        <f>Общее!R42</f>
        <v>0</v>
      </c>
      <c r="N19" s="1">
        <f>Общее!S42</f>
        <v>0</v>
      </c>
      <c r="O19" s="1">
        <f>Общее!T42</f>
        <v>0</v>
      </c>
      <c r="P19" s="1">
        <f>Общее!U42</f>
        <v>11.513</v>
      </c>
      <c r="Q19" s="3">
        <f>Общее!V42</f>
        <v>31833.0906897276</v>
      </c>
      <c r="R19" s="1">
        <f>Общее!W42</f>
        <v>0</v>
      </c>
      <c r="S19" s="3">
        <f>Общее!X42</f>
        <v>0</v>
      </c>
      <c r="T19" s="1">
        <f>Общее!Y42</f>
        <v>59.122</v>
      </c>
      <c r="U19" s="3">
        <f>Общее!Z42</f>
        <v>163470.51053227441</v>
      </c>
    </row>
    <row r="20" spans="1:21" ht="31.5" x14ac:dyDescent="0.25">
      <c r="A20" s="10">
        <v>14</v>
      </c>
      <c r="B20" s="28" t="str">
        <f>Общее!B43</f>
        <v>Ремонт ул. Театральной от ПК00+00 (ул. Нагорная)  до ПК01+50 и от ПК00+00 (ул. Курортный проспект) ПК04+25 (ул. Черноморская) в  Центральном районе города Сочи</v>
      </c>
      <c r="C20" s="21">
        <f>Общее!C43</f>
        <v>0.57499999999999996</v>
      </c>
      <c r="D20" s="22">
        <f>Общее!D43</f>
        <v>12350</v>
      </c>
      <c r="E20" s="1" t="str">
        <f>Общее!I43</f>
        <v>асф.</v>
      </c>
      <c r="F20" s="4" t="str">
        <f>Общее!K43</f>
        <v>Поручение Главы города Сочи, также является подъездной к  объекту культурного наследия России федерального значения "Зимний театр"</v>
      </c>
      <c r="G20" s="2">
        <f>Общее!L43</f>
        <v>12822972</v>
      </c>
      <c r="H20" s="1">
        <f>Общее!M43</f>
        <v>0</v>
      </c>
      <c r="I20" s="3">
        <f>Общее!N43</f>
        <v>0</v>
      </c>
      <c r="J20" s="1">
        <f>Общее!O43</f>
        <v>16.847999999999999</v>
      </c>
      <c r="K20" s="3">
        <f>Общее!P43</f>
        <v>6481.3784458175987</v>
      </c>
      <c r="L20" s="1">
        <f>Общее!Q43</f>
        <v>0</v>
      </c>
      <c r="M20" s="1">
        <f>Общее!R43</f>
        <v>0</v>
      </c>
      <c r="N20" s="1">
        <f>Общее!S43</f>
        <v>0</v>
      </c>
      <c r="O20" s="1">
        <f>Общее!T43</f>
        <v>0</v>
      </c>
      <c r="P20" s="1">
        <f>Общее!U43</f>
        <v>51.75</v>
      </c>
      <c r="Q20" s="3">
        <f>Общее!V43</f>
        <v>143087.1574041</v>
      </c>
      <c r="R20" s="1">
        <f>Общее!W43</f>
        <v>0</v>
      </c>
      <c r="S20" s="3">
        <f>Общее!X43</f>
        <v>0</v>
      </c>
      <c r="T20" s="1">
        <f>Общее!Y43</f>
        <v>0</v>
      </c>
      <c r="U20" s="3">
        <f>Общее!Z43</f>
        <v>0</v>
      </c>
    </row>
    <row r="21" spans="1:21" ht="31.5" x14ac:dyDescent="0.25">
      <c r="A21" s="10">
        <v>15</v>
      </c>
      <c r="B21" s="28" t="str">
        <f>Общее!B44</f>
        <v>Ремонт ул. Советской от ПК00+00 (ул. Горького) до ПК04+80 (дом № 26а)  в Центральном районе города Сочи</v>
      </c>
      <c r="C21" s="21">
        <f>Общее!C44</f>
        <v>0.48</v>
      </c>
      <c r="D21" s="22">
        <f>Общее!D44</f>
        <v>5040</v>
      </c>
      <c r="E21" s="1" t="str">
        <f>Общее!I44</f>
        <v>асф.</v>
      </c>
      <c r="F21" s="4" t="str">
        <f>Общее!K44</f>
        <v>Письмо управления социальной политики.</v>
      </c>
      <c r="G21" s="2">
        <f>Общее!L44</f>
        <v>4471645</v>
      </c>
      <c r="H21" s="1">
        <f>Общее!M44</f>
        <v>0</v>
      </c>
      <c r="I21" s="1">
        <f>Общее!N44</f>
        <v>0</v>
      </c>
      <c r="J21" s="1">
        <f>Общее!O44</f>
        <v>462.38400000000001</v>
      </c>
      <c r="K21" s="3">
        <f>Общее!P44</f>
        <v>198095.07614382723</v>
      </c>
      <c r="L21" s="1">
        <f>Общее!Q44</f>
        <v>0</v>
      </c>
      <c r="M21" s="1">
        <f>Общее!R44</f>
        <v>0</v>
      </c>
      <c r="N21" s="1">
        <f>Общее!S44</f>
        <v>0</v>
      </c>
      <c r="O21" s="1">
        <f>Общее!T44</f>
        <v>0</v>
      </c>
      <c r="P21" s="1">
        <f>Общее!U44</f>
        <v>9</v>
      </c>
      <c r="Q21" s="3">
        <f>Общее!V44</f>
        <v>24884.723026799998</v>
      </c>
      <c r="R21" s="1">
        <f>Общее!W44</f>
        <v>0</v>
      </c>
      <c r="S21" s="3">
        <f>Общее!X44</f>
        <v>0</v>
      </c>
      <c r="T21" s="1">
        <f>Общее!Y44</f>
        <v>0</v>
      </c>
      <c r="U21" s="3">
        <f>Общее!Z44</f>
        <v>0</v>
      </c>
    </row>
    <row r="22" spans="1:21" ht="47.25" x14ac:dyDescent="0.25">
      <c r="A22" s="10">
        <v>16</v>
      </c>
      <c r="B22" s="28" t="str">
        <f>Общее!B46</f>
        <v>Ремонт ул. Пластунской от ПК00+00  (дом №2 Б по пер. Грузинский) до ПК02+28, от ПК00+00 (развязка на ул. Пластунская) до ПК07+50, от ПК00+00 (дом № 155 к3) до ПК11+33, от ПК00+00 (дом № 198 А) до ПК06+32  в Центральном районе города Сочи</v>
      </c>
      <c r="C22" s="21">
        <f>Общее!C46</f>
        <v>2.7429999999999999</v>
      </c>
      <c r="D22" s="22">
        <f>Общее!D46</f>
        <v>28298</v>
      </c>
      <c r="E22" s="1" t="str">
        <f>Общее!I46</f>
        <v>асф.</v>
      </c>
      <c r="F22" s="4" t="str">
        <f>Общее!K46</f>
        <v>В адрес администрации города Сочи поступали обращения жителей о необходимости ремонта дорожного полотна</v>
      </c>
      <c r="G22" s="2">
        <f>Общее!L46</f>
        <v>30997180</v>
      </c>
      <c r="H22" s="1">
        <f>Общее!M46</f>
        <v>76.239999999999995</v>
      </c>
      <c r="I22" s="1">
        <f>Общее!N46</f>
        <v>90481.326247103993</v>
      </c>
      <c r="J22" s="1">
        <f>Общее!O46</f>
        <v>438.42240000000004</v>
      </c>
      <c r="K22" s="3">
        <f>Общее!P46</f>
        <v>178244.64529971842</v>
      </c>
      <c r="L22" s="1">
        <f>Общее!Q46</f>
        <v>0</v>
      </c>
      <c r="M22" s="1">
        <f>Общее!R46</f>
        <v>0</v>
      </c>
      <c r="N22" s="1">
        <f>Общее!S46</f>
        <v>0</v>
      </c>
      <c r="O22" s="1">
        <f>Общее!T46</f>
        <v>0</v>
      </c>
      <c r="P22" s="1">
        <f>Общее!U46</f>
        <v>44.531999999999996</v>
      </c>
      <c r="Q22" s="3">
        <f>Общее!V46</f>
        <v>123129.6095366064</v>
      </c>
      <c r="R22" s="1">
        <f>Общее!W46</f>
        <v>0</v>
      </c>
      <c r="S22" s="3">
        <f>Общее!X46</f>
        <v>0</v>
      </c>
      <c r="T22" s="1">
        <f>Общее!Y46</f>
        <v>76.992999999999995</v>
      </c>
      <c r="U22" s="3">
        <f>Общее!Z46</f>
        <v>212883.27555582358</v>
      </c>
    </row>
    <row r="23" spans="1:21" ht="31.5" x14ac:dyDescent="0.25">
      <c r="A23" s="10">
        <v>17</v>
      </c>
      <c r="B23" s="28" t="str">
        <f>Общее!B61</f>
        <v>Ремонт ул. Островского от ПК00+00 (пер. Шкиперский) до ПК10+86 (ул. Московская) в Центральном районе города Сочи</v>
      </c>
      <c r="C23" s="21">
        <f>Общее!C61</f>
        <v>1.0860000000000001</v>
      </c>
      <c r="D23" s="22">
        <f>Общее!D61</f>
        <v>9991</v>
      </c>
      <c r="E23" s="1" t="str">
        <f>Общее!I61</f>
        <v>асф.</v>
      </c>
      <c r="F23" s="1" t="str">
        <f>Общее!K61</f>
        <v>Данная автомобильная дорога является подъездной к торгово-офисным центрам, объекту показа "Площадь флагов", Администрации города Сочи, Администрации Центрального района города Сочи</v>
      </c>
      <c r="G23" s="2">
        <f>Общее!L61</f>
        <v>23943728</v>
      </c>
      <c r="H23" s="1">
        <f>Общее!M61</f>
        <v>65.510000000000005</v>
      </c>
      <c r="I23" s="3">
        <f>Общее!N61</f>
        <v>78733.284794736013</v>
      </c>
      <c r="J23" s="1">
        <f>Общее!O61</f>
        <v>935.1576</v>
      </c>
      <c r="K23" s="3">
        <f>Общее!P61</f>
        <v>390419.08520138782</v>
      </c>
      <c r="L23" s="1">
        <f>Общее!Q61</f>
        <v>0</v>
      </c>
      <c r="M23" s="1">
        <f>Общее!R61</f>
        <v>0</v>
      </c>
      <c r="N23" s="1">
        <f>Общее!S61</f>
        <v>0</v>
      </c>
      <c r="O23" s="1">
        <f>Общее!T61</f>
        <v>0</v>
      </c>
      <c r="P23" s="1">
        <f>Общее!U61</f>
        <v>0</v>
      </c>
      <c r="Q23" s="3">
        <f>Общее!V61</f>
        <v>0</v>
      </c>
      <c r="R23" s="1">
        <f>Общее!W61</f>
        <v>0</v>
      </c>
      <c r="S23" s="3">
        <f>Общее!X61</f>
        <v>0</v>
      </c>
      <c r="T23" s="1">
        <f>Общее!Y61</f>
        <v>130.38</v>
      </c>
      <c r="U23" s="3">
        <f>Общее!Z61</f>
        <v>360496.687581576</v>
      </c>
    </row>
    <row r="24" spans="1:21" ht="31.5" x14ac:dyDescent="0.25">
      <c r="A24" s="10">
        <v>18</v>
      </c>
      <c r="B24" s="28" t="str">
        <f>Общее!B62</f>
        <v>Ремонт ул. Красноармейской от ПК00+00 (ул. Гагарина) до ПК11+00 (ФАД А-147)  в Центральном районе города Сочи</v>
      </c>
      <c r="C24" s="21">
        <f>Общее!C62</f>
        <v>1.1000000000000001</v>
      </c>
      <c r="D24" s="22">
        <f>Общее!D62</f>
        <v>10450</v>
      </c>
      <c r="E24" s="1" t="str">
        <f>Общее!I62</f>
        <v>асф.</v>
      </c>
      <c r="F24" s="1" t="str">
        <f>Общее!K62</f>
        <v>Обращение граждан (9 шт)</v>
      </c>
      <c r="G24" s="2">
        <f>Общее!L62</f>
        <v>9599649</v>
      </c>
      <c r="H24" s="1">
        <f>Общее!M62</f>
        <v>0</v>
      </c>
      <c r="I24" s="3">
        <f>Общее!N62</f>
        <v>0</v>
      </c>
      <c r="J24" s="1">
        <f>Общее!O62</f>
        <v>948.63599999999997</v>
      </c>
      <c r="K24" s="3">
        <f>Общее!P62</f>
        <v>427154.75467760162</v>
      </c>
      <c r="L24" s="1">
        <f>Общее!Q62</f>
        <v>0</v>
      </c>
      <c r="M24" s="1">
        <f>Общее!R62</f>
        <v>0</v>
      </c>
      <c r="N24" s="1">
        <f>Общее!S62</f>
        <v>0</v>
      </c>
      <c r="O24" s="1">
        <f>Общее!T62</f>
        <v>0</v>
      </c>
      <c r="P24" s="1">
        <f>Общее!U62</f>
        <v>28.35</v>
      </c>
      <c r="Q24" s="3">
        <f>Общее!V62</f>
        <v>78386.877534419997</v>
      </c>
      <c r="R24" s="1">
        <f>Общее!W62</f>
        <v>0</v>
      </c>
      <c r="S24" s="3">
        <f>Общее!X62</f>
        <v>0</v>
      </c>
      <c r="T24" s="1">
        <f>Общее!Y62</f>
        <v>0</v>
      </c>
      <c r="U24" s="3">
        <f>Общее!Z62</f>
        <v>0</v>
      </c>
    </row>
    <row r="25" spans="1:21" ht="15.75" customHeight="1" x14ac:dyDescent="0.25">
      <c r="A25" s="47" t="s">
        <v>26</v>
      </c>
      <c r="B25" s="47"/>
      <c r="C25" s="13">
        <f>SUM(C7:C24)</f>
        <v>18.809999999999999</v>
      </c>
      <c r="D25" s="1">
        <f t="shared" ref="D25:U25" si="0">SUM(D7:D24)</f>
        <v>172834.9</v>
      </c>
      <c r="E25" s="1"/>
      <c r="F25" s="1">
        <f t="shared" si="0"/>
        <v>0</v>
      </c>
      <c r="G25" s="2">
        <f t="shared" si="0"/>
        <v>199724112</v>
      </c>
      <c r="H25" s="1">
        <f t="shared" si="0"/>
        <v>345.44</v>
      </c>
      <c r="I25" s="3">
        <f t="shared" si="0"/>
        <v>422065.04527340399</v>
      </c>
      <c r="J25" s="1">
        <f t="shared" si="0"/>
        <v>8021.963200000002</v>
      </c>
      <c r="K25" s="1">
        <f t="shared" si="0"/>
        <v>3529987.1372422175</v>
      </c>
      <c r="L25" s="1">
        <f t="shared" si="0"/>
        <v>0</v>
      </c>
      <c r="M25" s="1">
        <f t="shared" si="0"/>
        <v>0</v>
      </c>
      <c r="N25" s="1">
        <f t="shared" si="0"/>
        <v>0</v>
      </c>
      <c r="O25" s="3">
        <f t="shared" si="0"/>
        <v>0</v>
      </c>
      <c r="P25" s="1">
        <f t="shared" si="0"/>
        <v>990.6228000000001</v>
      </c>
      <c r="Q25" s="3">
        <f t="shared" si="0"/>
        <v>2739041.5557814548</v>
      </c>
      <c r="R25" s="1">
        <f t="shared" si="0"/>
        <v>19.548000000000002</v>
      </c>
      <c r="S25" s="3">
        <f t="shared" si="0"/>
        <v>54049.618414209603</v>
      </c>
      <c r="T25" s="1">
        <f t="shared" si="0"/>
        <v>456.54</v>
      </c>
      <c r="U25" s="3">
        <f t="shared" si="0"/>
        <v>1262319.0500728081</v>
      </c>
    </row>
    <row r="26" spans="1:21" ht="15.75" x14ac:dyDescent="0.25">
      <c r="A26" s="37"/>
      <c r="B26" s="37"/>
      <c r="C26" s="37"/>
      <c r="D26" s="37"/>
      <c r="E26" s="37"/>
    </row>
    <row r="27" spans="1:21" ht="15.75" x14ac:dyDescent="0.25">
      <c r="A27" s="37"/>
      <c r="B27" s="37"/>
      <c r="C27" s="37"/>
      <c r="D27" s="37"/>
      <c r="E27" s="37"/>
    </row>
    <row r="28" spans="1:21" ht="15.75" x14ac:dyDescent="0.25">
      <c r="A28" s="37" t="s">
        <v>146</v>
      </c>
      <c r="B28" s="37"/>
      <c r="C28" s="37"/>
      <c r="D28" s="37"/>
      <c r="E28" s="37"/>
    </row>
  </sheetData>
  <mergeCells count="18">
    <mergeCell ref="A25:B25"/>
    <mergeCell ref="F4:F6"/>
    <mergeCell ref="G4:G6"/>
    <mergeCell ref="H4:M4"/>
    <mergeCell ref="A4:A6"/>
    <mergeCell ref="B4:B6"/>
    <mergeCell ref="C4:C6"/>
    <mergeCell ref="D4:D6"/>
    <mergeCell ref="A3:E3"/>
    <mergeCell ref="N4:U4"/>
    <mergeCell ref="H5:I5"/>
    <mergeCell ref="J5:K5"/>
    <mergeCell ref="L5:M5"/>
    <mergeCell ref="N5:O5"/>
    <mergeCell ref="P5:Q5"/>
    <mergeCell ref="R5:S5"/>
    <mergeCell ref="T5:U5"/>
    <mergeCell ref="E4:E6"/>
  </mergeCells>
  <pageMargins left="0.25" right="0.25" top="0.75" bottom="0.75" header="0.3" footer="0.3"/>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5"/>
  <sheetViews>
    <sheetView view="pageBreakPreview" topLeftCell="A3" zoomScale="60" zoomScaleNormal="70" workbookViewId="0">
      <selection activeCell="A23" sqref="A23"/>
    </sheetView>
  </sheetViews>
  <sheetFormatPr defaultRowHeight="15" x14ac:dyDescent="0.25"/>
  <cols>
    <col min="1" max="1" width="5.5703125" customWidth="1"/>
    <col min="2" max="2" width="100.5703125" customWidth="1"/>
    <col min="3" max="3" width="10.85546875" customWidth="1"/>
    <col min="4" max="4" width="13.140625" customWidth="1"/>
    <col min="5" max="5" width="15" customWidth="1"/>
    <col min="6" max="6" width="9.140625" hidden="1" customWidth="1"/>
    <col min="7" max="7" width="20.42578125" hidden="1" customWidth="1"/>
    <col min="8" max="8" width="11.7109375" hidden="1" customWidth="1"/>
    <col min="9" max="9" width="17.28515625" hidden="1" customWidth="1"/>
    <col min="10" max="10" width="11.7109375" hidden="1" customWidth="1"/>
    <col min="11" max="11" width="17.28515625" hidden="1" customWidth="1"/>
    <col min="12" max="13" width="7.85546875" hidden="1" customWidth="1"/>
    <col min="14" max="14" width="10.140625" hidden="1" customWidth="1"/>
    <col min="15" max="15" width="15.140625" hidden="1" customWidth="1"/>
    <col min="16" max="16" width="10" hidden="1" customWidth="1"/>
    <col min="17" max="17" width="15.140625" hidden="1" customWidth="1"/>
    <col min="18" max="19" width="7.85546875" hidden="1" customWidth="1"/>
    <col min="20" max="20" width="9.140625" hidden="1" customWidth="1"/>
    <col min="21" max="21" width="14.140625" hidden="1" customWidth="1"/>
    <col min="22" max="22" width="0" hidden="1" customWidth="1"/>
  </cols>
  <sheetData>
    <row r="1" spans="1:21" ht="15.75" hidden="1" x14ac:dyDescent="0.25">
      <c r="E1" s="38" t="s">
        <v>140</v>
      </c>
    </row>
    <row r="2" spans="1:21" ht="15.75" hidden="1" x14ac:dyDescent="0.25">
      <c r="E2" s="37"/>
    </row>
    <row r="3" spans="1:21" ht="36.75" customHeight="1" x14ac:dyDescent="0.25">
      <c r="A3" s="45" t="s">
        <v>141</v>
      </c>
      <c r="B3" s="45"/>
      <c r="C3" s="45"/>
      <c r="D3" s="45"/>
      <c r="E3" s="45"/>
    </row>
    <row r="4" spans="1:21" ht="15.75" customHeight="1" x14ac:dyDescent="0.25">
      <c r="A4" s="40" t="s">
        <v>9</v>
      </c>
      <c r="B4" s="43" t="s">
        <v>0</v>
      </c>
      <c r="C4" s="43" t="s">
        <v>1</v>
      </c>
      <c r="D4" s="43" t="s">
        <v>2</v>
      </c>
      <c r="E4" s="43" t="s">
        <v>4</v>
      </c>
      <c r="F4" s="43" t="s">
        <v>5</v>
      </c>
      <c r="G4" s="43" t="s">
        <v>7</v>
      </c>
      <c r="H4" s="46" t="s">
        <v>10</v>
      </c>
      <c r="I4" s="46"/>
      <c r="J4" s="46"/>
      <c r="K4" s="46"/>
      <c r="L4" s="46"/>
      <c r="M4" s="46"/>
      <c r="N4" s="46" t="s">
        <v>18</v>
      </c>
      <c r="O4" s="46"/>
      <c r="P4" s="46"/>
      <c r="Q4" s="46"/>
      <c r="R4" s="46"/>
      <c r="S4" s="46"/>
      <c r="T4" s="46"/>
      <c r="U4" s="46"/>
    </row>
    <row r="5" spans="1:21" ht="15.75" customHeight="1" x14ac:dyDescent="0.25">
      <c r="A5" s="41"/>
      <c r="B5" s="43"/>
      <c r="C5" s="43"/>
      <c r="D5" s="43"/>
      <c r="E5" s="43"/>
      <c r="F5" s="43"/>
      <c r="G5" s="43"/>
      <c r="H5" s="46" t="s">
        <v>17</v>
      </c>
      <c r="I5" s="46"/>
      <c r="J5" s="46" t="s">
        <v>11</v>
      </c>
      <c r="K5" s="46"/>
      <c r="L5" s="46" t="s">
        <v>12</v>
      </c>
      <c r="M5" s="46"/>
      <c r="N5" s="46" t="s">
        <v>22</v>
      </c>
      <c r="O5" s="46"/>
      <c r="P5" s="46" t="s">
        <v>19</v>
      </c>
      <c r="Q5" s="46"/>
      <c r="R5" s="46" t="s">
        <v>20</v>
      </c>
      <c r="S5" s="46"/>
      <c r="T5" s="46" t="s">
        <v>21</v>
      </c>
      <c r="U5" s="46"/>
    </row>
    <row r="6" spans="1:21" ht="15.75" x14ac:dyDescent="0.25">
      <c r="A6" s="42"/>
      <c r="B6" s="43"/>
      <c r="C6" s="43"/>
      <c r="D6" s="43"/>
      <c r="E6" s="43"/>
      <c r="F6" s="43"/>
      <c r="G6" s="43"/>
      <c r="H6" s="6" t="s">
        <v>14</v>
      </c>
      <c r="I6" s="6" t="s">
        <v>15</v>
      </c>
      <c r="J6" s="6" t="s">
        <v>13</v>
      </c>
      <c r="K6" s="6" t="s">
        <v>15</v>
      </c>
      <c r="L6" s="6" t="s">
        <v>13</v>
      </c>
      <c r="M6" s="6" t="s">
        <v>15</v>
      </c>
      <c r="N6" s="6" t="s">
        <v>13</v>
      </c>
      <c r="O6" s="6" t="s">
        <v>15</v>
      </c>
      <c r="P6" s="6" t="s">
        <v>13</v>
      </c>
      <c r="Q6" s="6" t="s">
        <v>15</v>
      </c>
      <c r="R6" s="6" t="s">
        <v>13</v>
      </c>
      <c r="S6" s="6" t="s">
        <v>15</v>
      </c>
      <c r="T6" s="6" t="s">
        <v>13</v>
      </c>
      <c r="U6" s="6" t="s">
        <v>15</v>
      </c>
    </row>
    <row r="7" spans="1:21" ht="31.5" x14ac:dyDescent="0.25">
      <c r="A7" s="15">
        <v>1</v>
      </c>
      <c r="B7" s="28" t="str">
        <f>Общее!B47</f>
        <v>Ремонт ул. 50 лет СССР от ПК00+00 (дом № 2а) до ПК11+52 (ул. Шоссейная) в Хостинском районе города Сочи</v>
      </c>
      <c r="C7" s="21">
        <f>Общее!C47</f>
        <v>1.1519999999999999</v>
      </c>
      <c r="D7" s="22">
        <f>Общее!D47</f>
        <v>8064</v>
      </c>
      <c r="E7" s="1" t="str">
        <f>Общее!I47</f>
        <v>асф.</v>
      </c>
      <c r="F7" s="2" t="str">
        <f>Общее!K47</f>
        <v>Обращение граждан, письма администацрии района и прокуратуры.</v>
      </c>
      <c r="G7" s="2">
        <f>Общее!L47</f>
        <v>12090444</v>
      </c>
      <c r="H7" s="1">
        <f>Общее!M47</f>
        <v>0</v>
      </c>
      <c r="I7" s="3">
        <f>Общее!N47</f>
        <v>0</v>
      </c>
      <c r="J7" s="1">
        <f>Общее!O47</f>
        <v>0</v>
      </c>
      <c r="K7" s="3">
        <f>Общее!P47</f>
        <v>0</v>
      </c>
      <c r="L7" s="1">
        <f>Общее!Q47</f>
        <v>0</v>
      </c>
      <c r="M7" s="1">
        <f>Общее!R47</f>
        <v>0</v>
      </c>
      <c r="N7" s="1">
        <f>Общее!S47</f>
        <v>0</v>
      </c>
      <c r="O7" s="3">
        <f>Общее!T47</f>
        <v>0</v>
      </c>
      <c r="P7" s="1">
        <f>Общее!U47</f>
        <v>217.7</v>
      </c>
      <c r="Q7" s="3">
        <f>Общее!V47</f>
        <v>601933.80032604001</v>
      </c>
      <c r="R7" s="1">
        <f>Общее!W47</f>
        <v>0</v>
      </c>
      <c r="S7" s="3">
        <f>Общее!X47</f>
        <v>0</v>
      </c>
      <c r="T7" s="1">
        <f>Общее!Y47</f>
        <v>0</v>
      </c>
      <c r="U7" s="3">
        <f>Общее!Z47</f>
        <v>0</v>
      </c>
    </row>
    <row r="8" spans="1:21" ht="31.5" x14ac:dyDescent="0.25">
      <c r="A8" s="15">
        <v>2</v>
      </c>
      <c r="B8" s="28" t="str">
        <f>Общее!B48</f>
        <v>Ремонт ул. Депутатской от ПК00+00 (дом №9/3) до ПК03+26 (ул. Дмитриевой) в Хостинском районе города Сочи</v>
      </c>
      <c r="C8" s="21">
        <f>Общее!C48</f>
        <v>0.32600000000000001</v>
      </c>
      <c r="D8" s="22">
        <f>Общее!D48</f>
        <v>2216.8000000000002</v>
      </c>
      <c r="E8" s="1" t="str">
        <f>Общее!I48</f>
        <v>асф.</v>
      </c>
      <c r="F8" s="2">
        <f>Общее!K48</f>
        <v>0</v>
      </c>
      <c r="G8" s="2">
        <f>Общее!L48</f>
        <v>3062362</v>
      </c>
      <c r="H8" s="1">
        <f>Общее!M48</f>
        <v>0</v>
      </c>
      <c r="I8" s="3">
        <f>Общее!N48</f>
        <v>0</v>
      </c>
      <c r="J8" s="1">
        <f>Общее!O48</f>
        <v>0</v>
      </c>
      <c r="K8" s="3">
        <f>Общее!P48</f>
        <v>0</v>
      </c>
      <c r="L8" s="1">
        <f>Общее!Q48</f>
        <v>0</v>
      </c>
      <c r="M8" s="1">
        <f>Общее!R48</f>
        <v>0</v>
      </c>
      <c r="N8" s="1">
        <f>Общее!S48</f>
        <v>0</v>
      </c>
      <c r="O8" s="1">
        <f>Общее!T48</f>
        <v>0</v>
      </c>
      <c r="P8" s="1">
        <f>Общее!U48</f>
        <v>59.85</v>
      </c>
      <c r="Q8" s="3">
        <f>Общее!V48</f>
        <v>165483.40812822001</v>
      </c>
      <c r="R8" s="1">
        <f>Общее!W48</f>
        <v>0</v>
      </c>
      <c r="S8" s="3">
        <f>Общее!X48</f>
        <v>0</v>
      </c>
      <c r="T8" s="1">
        <f>Общее!Y48</f>
        <v>0</v>
      </c>
      <c r="U8" s="3">
        <f>Общее!Z48</f>
        <v>0</v>
      </c>
    </row>
    <row r="9" spans="1:21" ht="31.5" x14ac:dyDescent="0.25">
      <c r="A9" s="15">
        <v>3</v>
      </c>
      <c r="B9" s="28" t="str">
        <f>Общее!B49</f>
        <v>Ремонт пер. Надежды от ПК00+00 (дом № 1/1) до ПК03+00 в с. Краевско-Армянское в Хостинском районе города Сочи</v>
      </c>
      <c r="C9" s="21">
        <f>Общее!C49</f>
        <v>0.3</v>
      </c>
      <c r="D9" s="22">
        <f>Общее!D49</f>
        <v>1200</v>
      </c>
      <c r="E9" s="1" t="str">
        <f>Общее!I49</f>
        <v>асф.</v>
      </c>
      <c r="F9" s="2" t="str">
        <f>Общее!K49</f>
        <v>В адрес администрации города Сочи поступало обращение о необходимости ремонта дорожного полотна</v>
      </c>
      <c r="G9" s="2">
        <f>Общее!L49</f>
        <v>1433601</v>
      </c>
      <c r="H9" s="1">
        <f>Общее!M49</f>
        <v>15.09</v>
      </c>
      <c r="I9" s="3">
        <f>Общее!N49</f>
        <v>14892.140795219999</v>
      </c>
      <c r="J9" s="1">
        <f>Общее!O49</f>
        <v>0</v>
      </c>
      <c r="K9" s="1">
        <f>Общее!P49</f>
        <v>0</v>
      </c>
      <c r="L9" s="1">
        <f>Общее!Q49</f>
        <v>0</v>
      </c>
      <c r="M9" s="1">
        <f>Общее!R49</f>
        <v>0</v>
      </c>
      <c r="N9" s="1">
        <f>Общее!S49</f>
        <v>0</v>
      </c>
      <c r="O9" s="3">
        <f>Общее!T49</f>
        <v>0</v>
      </c>
      <c r="P9" s="1">
        <f>Общее!U49</f>
        <v>8.75</v>
      </c>
      <c r="Q9" s="3">
        <f>Общее!V49</f>
        <v>24193.4807205</v>
      </c>
      <c r="R9" s="1">
        <f>Общее!W49</f>
        <v>0</v>
      </c>
      <c r="S9" s="3">
        <f>Общее!X49</f>
        <v>0</v>
      </c>
      <c r="T9" s="1">
        <f>Общее!Y49</f>
        <v>0</v>
      </c>
      <c r="U9" s="3">
        <f>Общее!Z49</f>
        <v>0</v>
      </c>
    </row>
    <row r="10" spans="1:21" ht="31.5" x14ac:dyDescent="0.25">
      <c r="A10" s="15">
        <v>4</v>
      </c>
      <c r="B10" s="28" t="str">
        <f>Общее!B50</f>
        <v>Ремонт пер. Песочного от ПК00+00 (ул. Урожайная) до ПК12+41 в с. Прогресс в Хостинском районе города Сочи</v>
      </c>
      <c r="C10" s="21">
        <f>Общее!C50</f>
        <v>1.2410000000000001</v>
      </c>
      <c r="D10" s="22">
        <f>Общее!D50</f>
        <v>4964</v>
      </c>
      <c r="E10" s="1" t="str">
        <f>Общее!I50</f>
        <v>асф.</v>
      </c>
      <c r="F10" s="2" t="str">
        <f>Общее!K50</f>
        <v>В адрес администрации города Сочи и  поступало обращение жителей о необходимости ремонта дорожного полотна</v>
      </c>
      <c r="G10" s="2">
        <f>Общее!L50</f>
        <v>6246696</v>
      </c>
      <c r="H10" s="1">
        <f>Общее!M50</f>
        <v>150.88</v>
      </c>
      <c r="I10" s="3">
        <f>Общее!N50</f>
        <v>140850.04215609599</v>
      </c>
      <c r="J10" s="1">
        <f>Общее!O50</f>
        <v>0</v>
      </c>
      <c r="K10" s="1">
        <f>Общее!P50</f>
        <v>0</v>
      </c>
      <c r="L10" s="1">
        <f>Общее!Q50</f>
        <v>0</v>
      </c>
      <c r="M10" s="1">
        <f>Общее!R50</f>
        <v>0</v>
      </c>
      <c r="N10" s="1">
        <f>Общее!S50</f>
        <v>0</v>
      </c>
      <c r="O10" s="3">
        <f>Общее!T50</f>
        <v>0</v>
      </c>
      <c r="P10" s="1">
        <f>Общее!U50</f>
        <v>25</v>
      </c>
      <c r="Q10" s="3">
        <f>Общее!V50</f>
        <v>69124.230630000005</v>
      </c>
      <c r="R10" s="1">
        <f>Общее!W50</f>
        <v>0</v>
      </c>
      <c r="S10" s="3">
        <f>Общее!X50</f>
        <v>0</v>
      </c>
      <c r="T10" s="1">
        <f>Общее!Y50</f>
        <v>0</v>
      </c>
      <c r="U10" s="3">
        <f>Общее!Z50</f>
        <v>0</v>
      </c>
    </row>
    <row r="11" spans="1:21" ht="31.5" x14ac:dyDescent="0.25">
      <c r="A11" s="15">
        <v>5</v>
      </c>
      <c r="B11" s="28" t="str">
        <f>Общее!B51</f>
        <v>Ремонт пер. Совхозного от ПК00+00 (ул. Абовяна) до ПК05+95 в с. Верхний Юрт в Хостинском районе города Сочи</v>
      </c>
      <c r="C11" s="21">
        <f>Общее!C51</f>
        <v>0.59499999999999997</v>
      </c>
      <c r="D11" s="22">
        <f>Общее!D51</f>
        <v>3272</v>
      </c>
      <c r="E11" s="1" t="str">
        <f>Общее!I51</f>
        <v>асф.</v>
      </c>
      <c r="F11" s="2" t="str">
        <f>Общее!K51</f>
        <v>В адрес администрации Краснодарского края поступало коллективное обращение жителей о необходимости ремонта дорожного полотна</v>
      </c>
      <c r="G11" s="2">
        <f>Общее!L51</f>
        <v>3938766</v>
      </c>
      <c r="H11" s="1">
        <f>Общее!M51</f>
        <v>0</v>
      </c>
      <c r="I11" s="3">
        <f>Общее!N51</f>
        <v>0</v>
      </c>
      <c r="J11" s="1">
        <f>Общее!O51</f>
        <v>12.167999999999999</v>
      </c>
      <c r="K11" s="3">
        <f>Общее!P51</f>
        <v>5080.0201257312001</v>
      </c>
      <c r="L11" s="1">
        <f>Общее!Q51</f>
        <v>0</v>
      </c>
      <c r="M11" s="1">
        <f>Общее!R51</f>
        <v>0</v>
      </c>
      <c r="N11" s="1">
        <f>Общее!S51</f>
        <v>0</v>
      </c>
      <c r="O11" s="3">
        <f>Общее!T51</f>
        <v>0</v>
      </c>
      <c r="P11" s="1">
        <f>Общее!U51</f>
        <v>45</v>
      </c>
      <c r="Q11" s="3">
        <f>Общее!V51</f>
        <v>124423.61513399999</v>
      </c>
      <c r="R11" s="1">
        <f>Общее!W51</f>
        <v>0</v>
      </c>
      <c r="S11" s="3">
        <f>Общее!X51</f>
        <v>0</v>
      </c>
      <c r="T11" s="1">
        <f>Общее!Y51</f>
        <v>0</v>
      </c>
      <c r="U11" s="3">
        <f>Общее!Z51</f>
        <v>0</v>
      </c>
    </row>
    <row r="12" spans="1:21" ht="31.5" x14ac:dyDescent="0.25">
      <c r="A12" s="15">
        <v>6</v>
      </c>
      <c r="B12" s="28" t="str">
        <f>Общее!B52</f>
        <v>Ремонт ул. Октября от ПК00+00 (ул. Шоссейная) до ПК06+15 (ул. Платановая) в Хостинском районе города Сочи</v>
      </c>
      <c r="C12" s="21">
        <f>Общее!C52</f>
        <v>0.61499999999999999</v>
      </c>
      <c r="D12" s="22">
        <f>Общее!D52</f>
        <v>7687.5</v>
      </c>
      <c r="E12" s="1" t="str">
        <f>Общее!I52</f>
        <v>асф.</v>
      </c>
      <c r="F12" s="2">
        <f>Общее!K52</f>
        <v>0</v>
      </c>
      <c r="G12" s="2">
        <f>Общее!L52</f>
        <v>10830525</v>
      </c>
      <c r="H12" s="1">
        <f>Общее!M52</f>
        <v>0</v>
      </c>
      <c r="I12" s="1">
        <f>Общее!N52</f>
        <v>0</v>
      </c>
      <c r="J12" s="1">
        <f>Общее!O52</f>
        <v>0</v>
      </c>
      <c r="K12" s="1">
        <f>Общее!P52</f>
        <v>0</v>
      </c>
      <c r="L12" s="1">
        <f>Общее!Q52</f>
        <v>0</v>
      </c>
      <c r="M12" s="1">
        <f>Общее!R52</f>
        <v>0</v>
      </c>
      <c r="N12" s="1">
        <f>Общее!S52</f>
        <v>0</v>
      </c>
      <c r="O12" s="3">
        <f>Общее!T52</f>
        <v>0</v>
      </c>
      <c r="P12" s="1">
        <f>Общее!U52</f>
        <v>207.5</v>
      </c>
      <c r="Q12" s="3">
        <f>Общее!V52</f>
        <v>573731.11422899994</v>
      </c>
      <c r="R12" s="1">
        <f>Общее!W52</f>
        <v>0</v>
      </c>
      <c r="S12" s="3">
        <f>Общее!X52</f>
        <v>0</v>
      </c>
      <c r="T12" s="1">
        <f>Общее!Y52</f>
        <v>0</v>
      </c>
      <c r="U12" s="3">
        <f>Общее!Z52</f>
        <v>0</v>
      </c>
    </row>
    <row r="13" spans="1:21" ht="31.5" x14ac:dyDescent="0.25">
      <c r="A13" s="15">
        <v>7</v>
      </c>
      <c r="B13" s="28" t="str">
        <f>Общее!B53</f>
        <v xml:space="preserve"> Ремонт ул. Дарвина от ПК00+00 (дом № 34) до ПК09+74 (ул.Камо) и от ПК00+00 (дом № 95) до ПК00+98 в Хостинском районе города Сочи</v>
      </c>
      <c r="C13" s="21">
        <f>Общее!C53</f>
        <v>1.0720000000000001</v>
      </c>
      <c r="D13" s="22">
        <f>Общее!D53</f>
        <v>11000</v>
      </c>
      <c r="E13" s="1" t="str">
        <f>Общее!I53</f>
        <v>асф.</v>
      </c>
      <c r="F13" s="2">
        <f>Общее!K53</f>
        <v>0</v>
      </c>
      <c r="G13" s="2">
        <f>Общее!L53</f>
        <v>15895095</v>
      </c>
      <c r="H13" s="1">
        <f>Общее!M53</f>
        <v>31.94</v>
      </c>
      <c r="I13" s="1">
        <f>Общее!N53</f>
        <v>30658.872022584001</v>
      </c>
      <c r="J13" s="1">
        <f>Общее!O53</f>
        <v>0</v>
      </c>
      <c r="K13" s="1">
        <f>Общее!P53</f>
        <v>0</v>
      </c>
      <c r="L13" s="1">
        <f>Общее!Q53</f>
        <v>0</v>
      </c>
      <c r="M13" s="1">
        <f>Общее!R53</f>
        <v>0</v>
      </c>
      <c r="N13" s="1">
        <f>Общее!S53</f>
        <v>0</v>
      </c>
      <c r="O13" s="3">
        <f>Общее!T53</f>
        <v>0</v>
      </c>
      <c r="P13" s="1">
        <f>Общее!U53</f>
        <v>150</v>
      </c>
      <c r="Q13" s="3">
        <f>Общее!V53</f>
        <v>414745.38377999997</v>
      </c>
      <c r="R13" s="1">
        <f>Общее!W53</f>
        <v>0</v>
      </c>
      <c r="S13" s="3">
        <f>Общее!X53</f>
        <v>0</v>
      </c>
      <c r="T13" s="1">
        <f>Общее!Y53</f>
        <v>4.12</v>
      </c>
      <c r="U13" s="3">
        <f>Общее!Z53</f>
        <v>11391.673207824</v>
      </c>
    </row>
    <row r="14" spans="1:21" ht="31.5" x14ac:dyDescent="0.25">
      <c r="A14" s="15">
        <v>8</v>
      </c>
      <c r="B14" s="28" t="str">
        <f>Общее!B54</f>
        <v xml:space="preserve"> Ремонт ул. Искры от ПК00+00 (ул. Сухумское шоссе) до ПК22+30 в Хостинском районе города Сочи</v>
      </c>
      <c r="C14" s="21">
        <f>Общее!C54</f>
        <v>2.23</v>
      </c>
      <c r="D14" s="22">
        <f>Общее!D54</f>
        <v>16700</v>
      </c>
      <c r="E14" s="1" t="str">
        <f>Общее!I54</f>
        <v>асф.</v>
      </c>
      <c r="F14" s="2">
        <f>Общее!K54</f>
        <v>0</v>
      </c>
      <c r="G14" s="2">
        <f>Общее!L54</f>
        <v>20049085</v>
      </c>
      <c r="H14" s="1">
        <f>Общее!M54</f>
        <v>77.64</v>
      </c>
      <c r="I14" s="3">
        <f>Общее!N54</f>
        <v>75574.888764335992</v>
      </c>
      <c r="J14" s="1">
        <f>Общее!O54</f>
        <v>0</v>
      </c>
      <c r="K14" s="1">
        <f>Общее!P54</f>
        <v>0</v>
      </c>
      <c r="L14" s="1">
        <f>Общее!Q54</f>
        <v>0</v>
      </c>
      <c r="M14" s="1">
        <f>Общее!R54</f>
        <v>0</v>
      </c>
      <c r="N14" s="1">
        <f>Общее!S54</f>
        <v>1080</v>
      </c>
      <c r="O14" s="3">
        <f>Общее!T54</f>
        <v>2987642.4458400002</v>
      </c>
      <c r="P14" s="1">
        <f>Общее!U54</f>
        <v>125</v>
      </c>
      <c r="Q14" s="3">
        <f>Общее!V54</f>
        <v>345621.15314999997</v>
      </c>
      <c r="R14" s="1">
        <f>Общее!W54</f>
        <v>0</v>
      </c>
      <c r="S14" s="3">
        <f>Общее!X54</f>
        <v>0</v>
      </c>
      <c r="T14" s="1">
        <f>Общее!Y54</f>
        <v>5.15</v>
      </c>
      <c r="U14" s="3">
        <f>Общее!Z54</f>
        <v>14239.591509780001</v>
      </c>
    </row>
    <row r="15" spans="1:21" ht="31.5" x14ac:dyDescent="0.25">
      <c r="A15" s="15">
        <v>9</v>
      </c>
      <c r="B15" s="28" t="str">
        <f>Общее!B55</f>
        <v>Ремонт ул. Леселидзе от ПК00+00 (дом № 16 а) до ПК17+94 и от ПК00+00 (дом № 56/3) до ПК01+35 в с. Пластунка в Хостинском районе города Сочи</v>
      </c>
      <c r="C15" s="21">
        <f>Общее!C55</f>
        <v>1.929</v>
      </c>
      <c r="D15" s="22">
        <f>Общее!D55</f>
        <v>9645</v>
      </c>
      <c r="E15" s="1" t="str">
        <f>Общее!I55</f>
        <v>асф.</v>
      </c>
      <c r="F15" s="2" t="str">
        <f>Общее!K55</f>
        <v>В адрес администрации города Сочи и администрации Краснодарского края поступали многочисленные жалобы о необходимости ремонта и капитального дорожного полотна. По данной автомобильной дороге осуществляются регулярные пассажирские перевозки маршруту №114 (морвокзал Сочи - село Пластунка, ул. Леселидзе), №201 (ост. Молодежная - село Пластунка (ул. Леселидзе))</v>
      </c>
      <c r="G15" s="2">
        <f>Общее!L55</f>
        <v>10686544</v>
      </c>
      <c r="H15" s="1">
        <f>Общее!M55</f>
        <v>115.05</v>
      </c>
      <c r="I15" s="3">
        <f>Общее!N55</f>
        <v>136540.87860347997</v>
      </c>
      <c r="J15" s="1">
        <f>Общее!O55</f>
        <v>37.44</v>
      </c>
      <c r="K15" s="3">
        <f>Общее!P55</f>
        <v>15221.575175040001</v>
      </c>
      <c r="L15" s="1">
        <f>Общее!Q55</f>
        <v>0</v>
      </c>
      <c r="M15" s="1">
        <f>Общее!R55</f>
        <v>0</v>
      </c>
      <c r="N15" s="1">
        <f>Общее!S55</f>
        <v>0</v>
      </c>
      <c r="O15" s="1">
        <f>Общее!T55</f>
        <v>0</v>
      </c>
      <c r="P15" s="1">
        <f>Общее!U55</f>
        <v>82.8</v>
      </c>
      <c r="Q15" s="3">
        <f>Общее!V55</f>
        <v>228939.45184656</v>
      </c>
      <c r="R15" s="1">
        <f>Общее!W55</f>
        <v>0</v>
      </c>
      <c r="S15" s="3">
        <f>Общее!X55</f>
        <v>0</v>
      </c>
      <c r="T15" s="1">
        <f>Общее!Y55</f>
        <v>0</v>
      </c>
      <c r="U15" s="3">
        <f>Общее!Z55</f>
        <v>0</v>
      </c>
    </row>
    <row r="16" spans="1:21" ht="31.5" x14ac:dyDescent="0.25">
      <c r="A16" s="15">
        <v>10</v>
      </c>
      <c r="B16" s="28" t="str">
        <f>Общее!B56</f>
        <v>Ремонт ул. Джапаридзе от ПК00+00 (ул. Краснодонская) до ПК58+00 в с. Пластунка в Хостинском районе города Сочи</v>
      </c>
      <c r="C16" s="21">
        <f>Общее!C56</f>
        <v>5.8</v>
      </c>
      <c r="D16" s="22">
        <f>Общее!D56</f>
        <v>33500</v>
      </c>
      <c r="E16" s="1" t="str">
        <f>Общее!I56</f>
        <v>асф.</v>
      </c>
      <c r="F16" s="1" t="str">
        <f>Общее!K56</f>
        <v>В адрес администрации города Сочи поступали обращения о необходимости ремонта дорожного полотна. Администрации города Сочи выдано предписание ГИБДД УВД по городу Сочи ГУ МВД России по Краснодарскому краю №23 ДН000310 об устранении повреждений проезжей части данной автомобильной дороги. Также на администрацию города Сочи и возбуждено исполнительное производство №23072/17/571015 об устранении недостатков эксплуатационного состояния проезжей части данной автомобильной дороги. По данной автомобильной дороге осуществляются регулярные пассажирские перевозки маршруту №102 (ост. Платановая аллея - село Пластунка  (ост. Ореховка)) и №201 (ост. Молодежная - село Пластунка (ул. Леселидзе))</v>
      </c>
      <c r="G16" s="2">
        <f>Общее!L56</f>
        <v>39185007</v>
      </c>
      <c r="H16" s="1">
        <f>Общее!M56</f>
        <v>848.68</v>
      </c>
      <c r="I16" s="3">
        <f>Общее!N56</f>
        <v>1019987.240720448</v>
      </c>
      <c r="J16" s="1">
        <f>Общее!O56</f>
        <v>468</v>
      </c>
      <c r="K16" s="3">
        <f>Общее!P56</f>
        <v>195385.3894512</v>
      </c>
      <c r="L16" s="1">
        <f>Общее!Q56</f>
        <v>0</v>
      </c>
      <c r="M16" s="1">
        <f>Общее!R56</f>
        <v>0</v>
      </c>
      <c r="N16" s="1">
        <f>Общее!S56</f>
        <v>0</v>
      </c>
      <c r="O16" s="1">
        <f>Общее!T56</f>
        <v>0</v>
      </c>
      <c r="P16" s="1">
        <f>Общее!U56</f>
        <v>229.5</v>
      </c>
      <c r="Q16" s="3">
        <f>Общее!V56</f>
        <v>634560.43718340003</v>
      </c>
      <c r="R16" s="1">
        <f>Общее!W56</f>
        <v>0</v>
      </c>
      <c r="S16" s="3">
        <f>Общее!X56</f>
        <v>0</v>
      </c>
      <c r="T16" s="1">
        <f>Общее!Y56</f>
        <v>0</v>
      </c>
      <c r="U16" s="3">
        <f>Общее!Z56</f>
        <v>0</v>
      </c>
    </row>
    <row r="17" spans="1:21" ht="31.5" x14ac:dyDescent="0.25">
      <c r="A17" s="15">
        <v>11</v>
      </c>
      <c r="B17" s="28" t="str">
        <f>Общее!B57</f>
        <v>Капитальный ремонт автомобильной дороги по ул. Леселидзе от дома №59 до кладбища в Хостинском районе города Сочи</v>
      </c>
      <c r="C17" s="21">
        <f>Общее!C57</f>
        <v>1.8737600000000001</v>
      </c>
      <c r="D17" s="22">
        <f>Общее!D57</f>
        <v>10872</v>
      </c>
      <c r="E17" s="1" t="str">
        <f>Общее!I57</f>
        <v>асф.</v>
      </c>
      <c r="F17" s="1" t="str">
        <f>Общее!K57</f>
        <v>В адрес администрации города Сочи и администрации Краснодарского края поступали многочисленные жалобы о необходимости ремонта и капитального дорожного полотна. По данной автомобильной дороге осуществляются регулярные пассажирские перевозки маршруту №114 (морвокзал Сочи - село Пластунка, ул. Леселидзе), №201 (ост. Молодежная - село Пластунка (ул. Леселидзе))</v>
      </c>
      <c r="G17" s="2">
        <f>Общее!L57</f>
        <v>75279268</v>
      </c>
      <c r="H17" s="1">
        <f>Общее!M57</f>
        <v>0</v>
      </c>
      <c r="I17" s="1">
        <f>Общее!N57</f>
        <v>0</v>
      </c>
      <c r="J17" s="1">
        <f>Общее!O57</f>
        <v>0</v>
      </c>
      <c r="K17" s="1">
        <f>Общее!P57</f>
        <v>0</v>
      </c>
      <c r="L17" s="1">
        <f>Общее!Q57</f>
        <v>0</v>
      </c>
      <c r="M17" s="1">
        <f>Общее!R57</f>
        <v>0</v>
      </c>
      <c r="N17" s="1">
        <f>Общее!S57</f>
        <v>0</v>
      </c>
      <c r="O17" s="1">
        <f>Общее!T57</f>
        <v>0</v>
      </c>
      <c r="P17" s="1">
        <f>Общее!U57</f>
        <v>0</v>
      </c>
      <c r="Q17" s="3">
        <f>Общее!V57</f>
        <v>0</v>
      </c>
      <c r="R17" s="1">
        <f>Общее!W57</f>
        <v>0</v>
      </c>
      <c r="S17" s="3">
        <f>Общее!X57</f>
        <v>0</v>
      </c>
      <c r="T17" s="1">
        <f>Общее!Y57</f>
        <v>0</v>
      </c>
      <c r="U17" s="3">
        <f>Общее!Z57</f>
        <v>0</v>
      </c>
    </row>
    <row r="18" spans="1:21" ht="31.5" x14ac:dyDescent="0.25">
      <c r="A18" s="15">
        <v>12</v>
      </c>
      <c r="B18" s="28" t="str">
        <f>Общее!B59</f>
        <v>Ремонт ул. Верхняя Лысая гора от ПК0+000 (дом № 11) до ПК0+485 в Хостинском районе города Сочи</v>
      </c>
      <c r="C18" s="21">
        <f>Общее!C59</f>
        <v>0.48499999999999999</v>
      </c>
      <c r="D18" s="22">
        <f>Общее!D59</f>
        <v>2823</v>
      </c>
      <c r="E18" s="1" t="str">
        <f>Общее!I59</f>
        <v>асф.</v>
      </c>
      <c r="F18" s="1" t="str">
        <f>Общее!K59</f>
        <v>По данной автомобильной дороге осуществляются регулярные пассажирские перевозки маршруту №44к (маг. Перекресток - ул. Дмитриевой,  32 - ул. Верхняя Лысая гора (кольцевой)).</v>
      </c>
      <c r="G18" s="2">
        <f>Общее!L59</f>
        <v>3099076</v>
      </c>
      <c r="H18" s="1">
        <f>Общее!M59</f>
        <v>9.43</v>
      </c>
      <c r="I18" s="3">
        <f>Общее!N59</f>
        <v>10765.44949818</v>
      </c>
      <c r="J18" s="1">
        <f>Общее!O59</f>
        <v>23.4</v>
      </c>
      <c r="K18" s="3">
        <f>Общее!P59</f>
        <v>8746.9880574959989</v>
      </c>
      <c r="L18" s="1">
        <f>Общее!Q59</f>
        <v>0</v>
      </c>
      <c r="M18" s="1">
        <f>Общее!R59</f>
        <v>0</v>
      </c>
      <c r="N18" s="1">
        <f>Общее!S59</f>
        <v>0</v>
      </c>
      <c r="O18" s="1">
        <f>Общее!T59</f>
        <v>0</v>
      </c>
      <c r="P18" s="1">
        <f>Общее!U59</f>
        <v>28.8</v>
      </c>
      <c r="Q18" s="3">
        <f>Общее!V59</f>
        <v>79631.113685760007</v>
      </c>
      <c r="R18" s="1">
        <f>Общее!W59</f>
        <v>0</v>
      </c>
      <c r="S18" s="3">
        <f>Общее!X59</f>
        <v>0</v>
      </c>
      <c r="T18" s="1">
        <f>Общее!Y59</f>
        <v>0</v>
      </c>
      <c r="U18" s="3">
        <f>Общее!Z59</f>
        <v>0</v>
      </c>
    </row>
    <row r="19" spans="1:21" ht="31.5" x14ac:dyDescent="0.25">
      <c r="A19" s="15">
        <v>13</v>
      </c>
      <c r="B19" s="28" t="str">
        <f>Общее!B60</f>
        <v>Ремонт ул. Армянской от ПК00+00 (ул. Краснодонская) до ПК25+17 в с. Барановка в Хостинском районе города Сочи</v>
      </c>
      <c r="C19" s="21">
        <f>Общее!C60</f>
        <v>2.5169999999999999</v>
      </c>
      <c r="D19" s="22">
        <f>Общее!D60</f>
        <v>20388</v>
      </c>
      <c r="E19" s="1" t="str">
        <f>Общее!I60</f>
        <v>асф.</v>
      </c>
      <c r="F19" s="1" t="str">
        <f>Общее!K60</f>
        <v>В адрес администрации города Сочи поступали многочисленные обращения жителей о необходимости ремонта дорожного полотна</v>
      </c>
      <c r="G19" s="2">
        <f>Общее!L60</f>
        <v>29929303</v>
      </c>
      <c r="H19" s="1">
        <f>Общее!M60</f>
        <v>119.04</v>
      </c>
      <c r="I19" s="3">
        <f>Общее!N60</f>
        <v>146652.780478464</v>
      </c>
      <c r="J19" s="1">
        <f>Общее!O60</f>
        <v>0</v>
      </c>
      <c r="K19" s="1">
        <f>Общее!P60</f>
        <v>0</v>
      </c>
      <c r="L19" s="1">
        <f>Общее!Q60</f>
        <v>0</v>
      </c>
      <c r="M19" s="1">
        <f>Общее!R60</f>
        <v>0</v>
      </c>
      <c r="N19" s="1">
        <f>Общее!S60</f>
        <v>0</v>
      </c>
      <c r="O19" s="1">
        <f>Общее!T60</f>
        <v>0</v>
      </c>
      <c r="P19" s="1">
        <f>Общее!U60</f>
        <v>379.541</v>
      </c>
      <c r="Q19" s="3">
        <f>Общее!V60</f>
        <v>1049419.1847016332</v>
      </c>
      <c r="R19" s="1">
        <f>Общее!W60</f>
        <v>0</v>
      </c>
      <c r="S19" s="3">
        <f>Общее!X60</f>
        <v>0</v>
      </c>
      <c r="T19" s="1">
        <f>Общее!Y60</f>
        <v>170.16300000000001</v>
      </c>
      <c r="U19" s="3">
        <f>Общее!Z60</f>
        <v>470495.45826770761</v>
      </c>
    </row>
    <row r="20" spans="1:21" ht="31.5" x14ac:dyDescent="0.25">
      <c r="A20" s="15">
        <v>14</v>
      </c>
      <c r="B20" s="28" t="str">
        <f>Общее!B63</f>
        <v>Ремонт ул. 20 Горнострелковой дивизии от ПК00+00 (дом № 18 а) до ПК09+00 в Хостинском районе города Сочи</v>
      </c>
      <c r="C20" s="21">
        <f>Общее!C63</f>
        <v>0.9</v>
      </c>
      <c r="D20" s="22">
        <f>Общее!D63</f>
        <v>4600</v>
      </c>
      <c r="E20" s="1" t="str">
        <f>Общее!I63</f>
        <v>асф.</v>
      </c>
      <c r="F20" s="1" t="str">
        <f>Общее!K63</f>
        <v>Данная автомобильная дорога является подъездной к кварталу жилой застройки</v>
      </c>
      <c r="G20" s="2">
        <f>Общее!L63</f>
        <v>6136962</v>
      </c>
      <c r="H20" s="1">
        <f>Общее!M63</f>
        <v>264.02999999999997</v>
      </c>
      <c r="I20" s="3">
        <f>Общее!N63</f>
        <v>309374.66681596794</v>
      </c>
      <c r="J20" s="1">
        <f>Общее!O63</f>
        <v>28.08</v>
      </c>
      <c r="K20" s="3">
        <f>Общее!P63</f>
        <v>11109.239395487999</v>
      </c>
      <c r="L20" s="1">
        <f>Общее!Q63</f>
        <v>0</v>
      </c>
      <c r="M20" s="1">
        <f>Общее!R63</f>
        <v>0</v>
      </c>
      <c r="N20" s="1">
        <f>Общее!S63</f>
        <v>0</v>
      </c>
      <c r="O20" s="1">
        <f>Общее!T63</f>
        <v>0</v>
      </c>
      <c r="P20" s="1">
        <f>Общее!U63</f>
        <v>31.5</v>
      </c>
      <c r="Q20" s="3">
        <f>Общее!V63</f>
        <v>87096.530593799995</v>
      </c>
      <c r="R20" s="1">
        <f>Общее!W63</f>
        <v>0</v>
      </c>
      <c r="S20" s="3">
        <f>Общее!X63</f>
        <v>0</v>
      </c>
      <c r="T20" s="1">
        <f>Общее!Y63</f>
        <v>0</v>
      </c>
      <c r="U20" s="3">
        <f>Общее!Z63</f>
        <v>0</v>
      </c>
    </row>
    <row r="21" spans="1:21" ht="15.75" customHeight="1" x14ac:dyDescent="0.25">
      <c r="A21" s="47" t="s">
        <v>26</v>
      </c>
      <c r="B21" s="47"/>
      <c r="C21" s="11">
        <f t="shared" ref="C21:U21" si="0">SUM(C7:C20)</f>
        <v>21.03576</v>
      </c>
      <c r="D21" s="2">
        <f t="shared" si="0"/>
        <v>136932.29999999999</v>
      </c>
      <c r="E21" s="1">
        <f t="shared" si="0"/>
        <v>0</v>
      </c>
      <c r="F21" s="1">
        <f t="shared" si="0"/>
        <v>0</v>
      </c>
      <c r="G21" s="2">
        <f t="shared" si="0"/>
        <v>237862734</v>
      </c>
      <c r="H21" s="6">
        <f t="shared" si="0"/>
        <v>1631.78</v>
      </c>
      <c r="I21" s="12">
        <f t="shared" si="0"/>
        <v>1885296.959854776</v>
      </c>
      <c r="J21" s="6">
        <f t="shared" si="0"/>
        <v>569.08799999999997</v>
      </c>
      <c r="K21" s="6">
        <f t="shared" si="0"/>
        <v>235543.2122049552</v>
      </c>
      <c r="L21" s="7">
        <f t="shared" si="0"/>
        <v>0</v>
      </c>
      <c r="M21" s="7">
        <f t="shared" si="0"/>
        <v>0</v>
      </c>
      <c r="N21" s="7">
        <f t="shared" si="0"/>
        <v>1080</v>
      </c>
      <c r="O21" s="7">
        <f t="shared" si="0"/>
        <v>2987642.4458400002</v>
      </c>
      <c r="P21" s="7">
        <f t="shared" si="0"/>
        <v>1590.9409999999998</v>
      </c>
      <c r="Q21" s="7">
        <f t="shared" si="0"/>
        <v>4398902.9041089136</v>
      </c>
      <c r="R21" s="7">
        <f t="shared" si="0"/>
        <v>0</v>
      </c>
      <c r="S21" s="7">
        <f t="shared" si="0"/>
        <v>0</v>
      </c>
      <c r="T21" s="6">
        <f t="shared" si="0"/>
        <v>179.43300000000002</v>
      </c>
      <c r="U21" s="6">
        <f t="shared" si="0"/>
        <v>496126.72298531159</v>
      </c>
    </row>
    <row r="23" spans="1:21" ht="15.75" x14ac:dyDescent="0.25">
      <c r="A23" s="37" t="s">
        <v>146</v>
      </c>
      <c r="B23" s="37"/>
      <c r="C23" s="37"/>
      <c r="D23" s="37"/>
      <c r="E23" s="37"/>
    </row>
    <row r="25" spans="1:21" x14ac:dyDescent="0.25">
      <c r="C25" s="18"/>
    </row>
  </sheetData>
  <mergeCells count="18">
    <mergeCell ref="A21:B21"/>
    <mergeCell ref="F4:F6"/>
    <mergeCell ref="G4:G6"/>
    <mergeCell ref="H4:M4"/>
    <mergeCell ref="A4:A6"/>
    <mergeCell ref="B4:B6"/>
    <mergeCell ref="C4:C6"/>
    <mergeCell ref="D4:D6"/>
    <mergeCell ref="A3:E3"/>
    <mergeCell ref="N4:U4"/>
    <mergeCell ref="H5:I5"/>
    <mergeCell ref="J5:K5"/>
    <mergeCell ref="L5:M5"/>
    <mergeCell ref="N5:O5"/>
    <mergeCell ref="P5:Q5"/>
    <mergeCell ref="R5:S5"/>
    <mergeCell ref="T5:U5"/>
    <mergeCell ref="E4:E6"/>
  </mergeCells>
  <pageMargins left="0.25" right="0.25" top="0.75" bottom="0.75" header="0.3" footer="0.3"/>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5"/>
  <sheetViews>
    <sheetView view="pageBreakPreview" topLeftCell="A3" zoomScale="60" zoomScaleNormal="60" workbookViewId="0">
      <selection activeCell="A25" sqref="A25"/>
    </sheetView>
  </sheetViews>
  <sheetFormatPr defaultRowHeight="15" x14ac:dyDescent="0.25"/>
  <cols>
    <col min="1" max="1" width="5.5703125" customWidth="1"/>
    <col min="2" max="2" width="100.5703125" customWidth="1"/>
    <col min="3" max="3" width="10.85546875" style="9" customWidth="1"/>
    <col min="4" max="4" width="13.7109375" style="9" customWidth="1"/>
    <col min="5" max="5" width="15" customWidth="1"/>
    <col min="6" max="6" width="20.28515625" hidden="1" customWidth="1"/>
    <col min="7" max="7" width="20.85546875" hidden="1" customWidth="1"/>
    <col min="8" max="8" width="11.7109375" hidden="1" customWidth="1"/>
    <col min="9" max="9" width="17.28515625" hidden="1" customWidth="1"/>
    <col min="10" max="10" width="12.42578125" hidden="1" customWidth="1"/>
    <col min="11" max="11" width="13.85546875" hidden="1" customWidth="1"/>
    <col min="12" max="12" width="9.85546875" hidden="1" customWidth="1"/>
    <col min="13" max="13" width="14" hidden="1" customWidth="1"/>
    <col min="14" max="14" width="10.5703125" hidden="1" customWidth="1"/>
    <col min="15" max="15" width="15.140625" hidden="1" customWidth="1"/>
    <col min="16" max="16" width="9.140625" hidden="1" customWidth="1"/>
    <col min="17" max="17" width="15.140625" hidden="1" customWidth="1"/>
    <col min="18" max="18" width="10.85546875" hidden="1" customWidth="1"/>
    <col min="19" max="19" width="14.140625" hidden="1" customWidth="1"/>
    <col min="20" max="20" width="7.7109375" hidden="1" customWidth="1"/>
    <col min="21" max="21" width="10.85546875" hidden="1" customWidth="1"/>
    <col min="22" max="23" width="0" hidden="1" customWidth="1"/>
  </cols>
  <sheetData>
    <row r="1" spans="1:23" ht="15.75" hidden="1" x14ac:dyDescent="0.25">
      <c r="C1"/>
      <c r="D1"/>
      <c r="E1" s="38" t="s">
        <v>142</v>
      </c>
    </row>
    <row r="2" spans="1:23" ht="15.75" hidden="1" x14ac:dyDescent="0.25">
      <c r="C2"/>
      <c r="D2"/>
      <c r="E2" s="37"/>
    </row>
    <row r="3" spans="1:23" ht="32.25" customHeight="1" x14ac:dyDescent="0.25">
      <c r="A3" s="45" t="s">
        <v>143</v>
      </c>
      <c r="B3" s="45"/>
      <c r="C3" s="45"/>
      <c r="D3" s="45"/>
      <c r="E3" s="45"/>
    </row>
    <row r="4" spans="1:23" ht="15.75" customHeight="1" x14ac:dyDescent="0.25">
      <c r="A4" s="40" t="s">
        <v>9</v>
      </c>
      <c r="B4" s="43" t="s">
        <v>0</v>
      </c>
      <c r="C4" s="43" t="s">
        <v>1</v>
      </c>
      <c r="D4" s="43" t="s">
        <v>2</v>
      </c>
      <c r="E4" s="43" t="s">
        <v>4</v>
      </c>
      <c r="F4" s="43" t="s">
        <v>5</v>
      </c>
      <c r="G4" s="43" t="s">
        <v>7</v>
      </c>
      <c r="H4" s="46" t="s">
        <v>10</v>
      </c>
      <c r="I4" s="46"/>
      <c r="J4" s="46"/>
      <c r="K4" s="46"/>
      <c r="L4" s="46"/>
      <c r="M4" s="46"/>
      <c r="N4" s="46" t="s">
        <v>18</v>
      </c>
      <c r="O4" s="46"/>
      <c r="P4" s="46"/>
      <c r="Q4" s="46"/>
      <c r="R4" s="46"/>
      <c r="S4" s="46"/>
      <c r="T4" s="46"/>
      <c r="U4" s="46"/>
    </row>
    <row r="5" spans="1:23" ht="15.75" customHeight="1" x14ac:dyDescent="0.25">
      <c r="A5" s="41"/>
      <c r="B5" s="43"/>
      <c r="C5" s="43"/>
      <c r="D5" s="43"/>
      <c r="E5" s="43"/>
      <c r="F5" s="43"/>
      <c r="G5" s="43"/>
      <c r="H5" s="46" t="s">
        <v>17</v>
      </c>
      <c r="I5" s="46"/>
      <c r="J5" s="46" t="s">
        <v>11</v>
      </c>
      <c r="K5" s="46"/>
      <c r="L5" s="46" t="s">
        <v>12</v>
      </c>
      <c r="M5" s="46"/>
      <c r="N5" s="46" t="s">
        <v>22</v>
      </c>
      <c r="O5" s="46"/>
      <c r="P5" s="46" t="s">
        <v>19</v>
      </c>
      <c r="Q5" s="46"/>
      <c r="R5" s="46" t="s">
        <v>20</v>
      </c>
      <c r="S5" s="46"/>
      <c r="T5" s="46" t="s">
        <v>21</v>
      </c>
      <c r="U5" s="46"/>
    </row>
    <row r="6" spans="1:23" ht="15.75" x14ac:dyDescent="0.25">
      <c r="A6" s="42"/>
      <c r="B6" s="43"/>
      <c r="C6" s="43"/>
      <c r="D6" s="43"/>
      <c r="E6" s="43"/>
      <c r="F6" s="43"/>
      <c r="G6" s="43"/>
      <c r="H6" s="6" t="s">
        <v>14</v>
      </c>
      <c r="I6" s="6" t="s">
        <v>15</v>
      </c>
      <c r="J6" s="6" t="s">
        <v>13</v>
      </c>
      <c r="K6" s="6" t="s">
        <v>15</v>
      </c>
      <c r="L6" s="6" t="s">
        <v>13</v>
      </c>
      <c r="M6" s="6" t="s">
        <v>15</v>
      </c>
      <c r="N6" s="6" t="s">
        <v>13</v>
      </c>
      <c r="O6" s="6" t="s">
        <v>15</v>
      </c>
      <c r="P6" s="6" t="s">
        <v>13</v>
      </c>
      <c r="Q6" s="6" t="s">
        <v>15</v>
      </c>
      <c r="R6" s="6" t="s">
        <v>13</v>
      </c>
      <c r="S6" s="6" t="s">
        <v>15</v>
      </c>
      <c r="T6" s="6" t="s">
        <v>13</v>
      </c>
      <c r="U6" s="6" t="s">
        <v>15</v>
      </c>
    </row>
    <row r="7" spans="1:23" ht="31.5" x14ac:dyDescent="0.25">
      <c r="A7" s="5">
        <v>1</v>
      </c>
      <c r="B7" s="28" t="str">
        <f>Общее!B16</f>
        <v>Ремонт ул. Черновицкой от ПК00+00 (дом № 19) до ПК18+00 в с. Верхневеселое в Адлерском районе города Сочи</v>
      </c>
      <c r="C7" s="21">
        <f>Общее!C16</f>
        <v>1.8</v>
      </c>
      <c r="D7" s="22">
        <f>Общее!D16</f>
        <v>13000</v>
      </c>
      <c r="E7" s="1" t="str">
        <f>Общее!I16</f>
        <v>асф.</v>
      </c>
      <c r="F7" s="4" t="str">
        <f>Общее!K16</f>
        <v>Обращения граждан. (более 10 шт.)</v>
      </c>
      <c r="G7" s="2">
        <f>Общее!L16</f>
        <v>15913102</v>
      </c>
      <c r="H7" s="1">
        <f>Общее!M16</f>
        <v>377.19</v>
      </c>
      <c r="I7" s="3">
        <f>Общее!N16</f>
        <v>299184.11386578</v>
      </c>
      <c r="J7" s="1">
        <f>Общее!O16</f>
        <v>0</v>
      </c>
      <c r="K7" s="1">
        <f>Общее!P16</f>
        <v>0</v>
      </c>
      <c r="L7" s="1">
        <f>Общее!Q16</f>
        <v>0</v>
      </c>
      <c r="M7" s="1">
        <f>Общее!R16</f>
        <v>0</v>
      </c>
      <c r="N7" s="1">
        <f>Общее!S16</f>
        <v>0</v>
      </c>
      <c r="O7" s="3">
        <f>Общее!T16</f>
        <v>0</v>
      </c>
      <c r="P7" s="1">
        <f>Общее!U16</f>
        <v>112.5</v>
      </c>
      <c r="Q7" s="3">
        <f>Общее!V16</f>
        <v>311059.03783500002</v>
      </c>
      <c r="R7" s="1">
        <f>Общее!W16</f>
        <v>0</v>
      </c>
      <c r="S7" s="3">
        <f>Общее!X16</f>
        <v>0</v>
      </c>
      <c r="T7" s="1">
        <f>Общее!Y16</f>
        <v>0</v>
      </c>
      <c r="U7" s="3">
        <f>Общее!Z16</f>
        <v>0</v>
      </c>
      <c r="V7" s="1">
        <v>1185</v>
      </c>
      <c r="W7">
        <f>D7-V7</f>
        <v>11815</v>
      </c>
    </row>
    <row r="8" spans="1:23" ht="31.5" x14ac:dyDescent="0.25">
      <c r="A8" s="5">
        <v>2</v>
      </c>
      <c r="B8" s="28" t="str">
        <f>Общее!B17</f>
        <v>Ремонт пер. Коломенского от ПК00+00 (ул. Мира) до ПК02+00 (ул. Пограничная) в с. Веселое в Адлерском районе города Сочи</v>
      </c>
      <c r="C8" s="21">
        <f>Общее!C17</f>
        <v>0.2</v>
      </c>
      <c r="D8" s="22">
        <f>Общее!D17</f>
        <v>1100</v>
      </c>
      <c r="E8" s="1" t="str">
        <f>Общее!I17</f>
        <v>асф.</v>
      </c>
      <c r="F8" s="4">
        <f>Общее!K17</f>
        <v>0</v>
      </c>
      <c r="G8" s="2">
        <f>Общее!L17</f>
        <v>1521495</v>
      </c>
      <c r="H8" s="1">
        <f>Общее!M17</f>
        <v>11.32</v>
      </c>
      <c r="I8" s="3">
        <f>Общее!N17</f>
        <v>8422.3963306080004</v>
      </c>
      <c r="J8" s="1">
        <f>Общее!O17</f>
        <v>0</v>
      </c>
      <c r="K8" s="1">
        <f>Общее!P17</f>
        <v>0</v>
      </c>
      <c r="L8" s="1">
        <f>Общее!Q17</f>
        <v>0</v>
      </c>
      <c r="M8" s="1">
        <f>Общее!R17</f>
        <v>0</v>
      </c>
      <c r="N8" s="1">
        <f>Общее!S17</f>
        <v>0</v>
      </c>
      <c r="O8" s="3">
        <f>Общее!T17</f>
        <v>0</v>
      </c>
      <c r="P8" s="1">
        <f>Общее!U17</f>
        <v>25.2</v>
      </c>
      <c r="Q8" s="3">
        <f>Общее!V17</f>
        <v>69677.224475039999</v>
      </c>
      <c r="R8" s="1">
        <f>Общее!W17</f>
        <v>0</v>
      </c>
      <c r="S8" s="3">
        <f>Общее!X17</f>
        <v>0</v>
      </c>
      <c r="T8" s="1">
        <f>Общее!Y17</f>
        <v>0</v>
      </c>
      <c r="U8" s="3">
        <f>Общее!Z17</f>
        <v>0</v>
      </c>
      <c r="V8" s="1">
        <v>3264</v>
      </c>
      <c r="W8">
        <f>D8-V8</f>
        <v>-2164</v>
      </c>
    </row>
    <row r="9" spans="1:23" ht="31.5" x14ac:dyDescent="0.25">
      <c r="A9" s="5">
        <v>3</v>
      </c>
      <c r="B9" s="28" t="str">
        <f>Общее!B18</f>
        <v>Ремонт ул. Виноградной от ПК00+00 (ул. Школьная) до ПК03+38 в с. Красная Воля в Адлерском районе города Сочи</v>
      </c>
      <c r="C9" s="21">
        <f>Общее!C18</f>
        <v>0.33800000000000002</v>
      </c>
      <c r="D9" s="22">
        <f>Общее!D18</f>
        <v>1650</v>
      </c>
      <c r="E9" s="1" t="str">
        <f>Общее!I18</f>
        <v>асф.</v>
      </c>
      <c r="F9" s="4" t="str">
        <f>Общее!K18</f>
        <v>Данная автомобильная дорога является подъездной к кварталу жилой застройки</v>
      </c>
      <c r="G9" s="2">
        <f>Общее!L18</f>
        <v>2079138</v>
      </c>
      <c r="H9" s="1">
        <f>Общее!M18</f>
        <v>41.49</v>
      </c>
      <c r="I9" s="3">
        <f>Общее!N18</f>
        <v>36597.590627363999</v>
      </c>
      <c r="J9" s="1">
        <f>Общее!O18</f>
        <v>0</v>
      </c>
      <c r="K9" s="1">
        <f>Общее!P18</f>
        <v>0</v>
      </c>
      <c r="L9" s="1">
        <f>Общее!Q18</f>
        <v>0</v>
      </c>
      <c r="M9" s="1">
        <f>Общее!R18</f>
        <v>0</v>
      </c>
      <c r="N9" s="1">
        <f>Общее!S18</f>
        <v>0</v>
      </c>
      <c r="O9" s="3">
        <f>Общее!T18</f>
        <v>0</v>
      </c>
      <c r="P9" s="1">
        <f>Общее!U18</f>
        <v>8.75</v>
      </c>
      <c r="Q9" s="3">
        <f>Общее!V18</f>
        <v>24193.4807205</v>
      </c>
      <c r="R9" s="1">
        <f>Общее!W18</f>
        <v>0</v>
      </c>
      <c r="S9" s="3">
        <f>Общее!X18</f>
        <v>0</v>
      </c>
      <c r="T9" s="1">
        <f>Общее!Y18</f>
        <v>0</v>
      </c>
      <c r="U9" s="3">
        <f>Общее!Z18</f>
        <v>0</v>
      </c>
      <c r="V9" s="1">
        <v>1650</v>
      </c>
      <c r="W9">
        <f>D9-V9</f>
        <v>0</v>
      </c>
    </row>
    <row r="10" spans="1:23" ht="31.5" x14ac:dyDescent="0.25">
      <c r="A10" s="5">
        <v>4</v>
      </c>
      <c r="B10" s="28" t="str">
        <f>Общее!B19</f>
        <v>Ремонт ул. Витебской от ПК00+00 (ул. Светогорская) до ПК03+20 (дом № 17) в с. Нижняя Шиловка в Адлерском районе города Сочи</v>
      </c>
      <c r="C10" s="21">
        <f>Общее!C19</f>
        <v>0.32</v>
      </c>
      <c r="D10" s="22">
        <f>Общее!D19</f>
        <v>1600</v>
      </c>
      <c r="E10" s="1" t="str">
        <f>Общее!I19</f>
        <v>асф.</v>
      </c>
      <c r="F10" s="4" t="str">
        <f>Общее!K19</f>
        <v>Обращение граждан, письмо администацрии сельского округа</v>
      </c>
      <c r="G10" s="2">
        <f>Общее!L19</f>
        <v>2454482</v>
      </c>
      <c r="H10" s="1">
        <f>Общее!M19</f>
        <v>113.16</v>
      </c>
      <c r="I10" s="3">
        <f>Общее!N19</f>
        <v>81413.928069551999</v>
      </c>
      <c r="J10" s="1">
        <f>Общее!O19</f>
        <v>0</v>
      </c>
      <c r="K10" s="1">
        <f>Общее!P19</f>
        <v>0</v>
      </c>
      <c r="L10" s="1">
        <f>Общее!Q19</f>
        <v>0</v>
      </c>
      <c r="M10" s="1">
        <f>Общее!R19</f>
        <v>0</v>
      </c>
      <c r="N10" s="1">
        <f>Общее!S19</f>
        <v>0</v>
      </c>
      <c r="O10" s="3">
        <f>Общее!T19</f>
        <v>0</v>
      </c>
      <c r="P10" s="1">
        <f>Общее!U19</f>
        <v>22.5</v>
      </c>
      <c r="Q10" s="3">
        <f>Общее!V19</f>
        <v>62211.807566999996</v>
      </c>
      <c r="R10" s="1">
        <f>Общее!W19</f>
        <v>0</v>
      </c>
      <c r="S10" s="3">
        <f>Общее!X19</f>
        <v>0</v>
      </c>
      <c r="T10" s="1">
        <f>Общее!Y19</f>
        <v>0</v>
      </c>
      <c r="U10" s="3">
        <f>Общее!Z19</f>
        <v>0</v>
      </c>
      <c r="V10" s="1">
        <v>1600</v>
      </c>
      <c r="W10">
        <f>D10-V10</f>
        <v>0</v>
      </c>
    </row>
    <row r="11" spans="1:23" ht="31.5" x14ac:dyDescent="0.25">
      <c r="A11" s="5">
        <v>5</v>
      </c>
      <c r="B11" s="28" t="str">
        <f>Общее!B20</f>
        <v>Ремонт ул. Ворошиловградской от ПК00+00 (ул. Урожайная) до ПК15+50 и от ПК00+00 (дом № 61 а) до ПК03+70 в с. Верхневеселое в Адлерском районе города Сочи</v>
      </c>
      <c r="C11" s="21">
        <f>Общее!C20</f>
        <v>1.92</v>
      </c>
      <c r="D11" s="22">
        <f>Общее!D20</f>
        <v>10840</v>
      </c>
      <c r="E11" s="1" t="str">
        <f>Общее!I20</f>
        <v>асф., ц/б</v>
      </c>
      <c r="F11" s="4" t="str">
        <f>Общее!K20</f>
        <v xml:space="preserve">В управление делами Президента РФ поступали многочисленные обращения о необходимости проведения ремонта на данной улице. </v>
      </c>
      <c r="G11" s="2">
        <f>Общее!L20</f>
        <v>39373708</v>
      </c>
      <c r="H11" s="1">
        <f>Общее!M20</f>
        <v>33.950000000000003</v>
      </c>
      <c r="I11" s="3">
        <f>Общее!N20</f>
        <v>26094.739130460002</v>
      </c>
      <c r="J11" s="1">
        <f>Общее!O20</f>
        <v>0</v>
      </c>
      <c r="K11" s="1">
        <f>Общее!P20</f>
        <v>0</v>
      </c>
      <c r="L11" s="1">
        <f>Общее!Q20</f>
        <v>5.2518000000000002</v>
      </c>
      <c r="M11" s="3">
        <f>Общее!R20</f>
        <v>85263.511004895612</v>
      </c>
      <c r="N11" s="1">
        <f>Общее!S20</f>
        <v>1549.32</v>
      </c>
      <c r="O11" s="3">
        <f>Общее!T20</f>
        <v>4285939.0686933603</v>
      </c>
      <c r="P11" s="1">
        <f>Общее!U20</f>
        <v>18.75</v>
      </c>
      <c r="Q11" s="3">
        <f>Общее!V20</f>
        <v>51843.172972499997</v>
      </c>
      <c r="R11" s="1">
        <f>Общее!W20</f>
        <v>1337.94</v>
      </c>
      <c r="S11" s="3">
        <f>Общее!X20</f>
        <v>3699362.9251640881</v>
      </c>
      <c r="T11" s="1">
        <f>Общее!Y20</f>
        <v>0</v>
      </c>
      <c r="U11" s="3">
        <f>Общее!Z20</f>
        <v>0</v>
      </c>
      <c r="V11" s="1">
        <v>10840</v>
      </c>
      <c r="W11">
        <f>D11-V11</f>
        <v>0</v>
      </c>
    </row>
    <row r="12" spans="1:23" ht="31.5" x14ac:dyDescent="0.25">
      <c r="A12" s="5">
        <v>6</v>
      </c>
      <c r="B12" s="28" t="str">
        <f>Общее!B21</f>
        <v>Ремонт ул. Ачишховской от ПК00+00 (ул. Заповедная) до ПК20+40 (дом № 86) в пгт. Красная Поляна в Адлерском районе города Сочи</v>
      </c>
      <c r="C12" s="21">
        <f>Общее!C21</f>
        <v>2.04</v>
      </c>
      <c r="D12" s="22">
        <f>Общее!D21</f>
        <v>12800</v>
      </c>
      <c r="E12" s="1" t="str">
        <f>Общее!I21</f>
        <v>асф.</v>
      </c>
      <c r="F12" s="4" t="str">
        <f>Общее!K21</f>
        <v>Обращения граждан и администраации сельского округа.</v>
      </c>
      <c r="G12" s="2">
        <f>Общее!L21</f>
        <v>17843032</v>
      </c>
      <c r="H12" s="1">
        <f>Общее!M21</f>
        <v>22.63</v>
      </c>
      <c r="I12" s="3">
        <f>Общее!N21</f>
        <v>9026.9326675320008</v>
      </c>
      <c r="J12" s="1">
        <f>Общее!O21</f>
        <v>1198.08</v>
      </c>
      <c r="K12" s="33">
        <f>Общее!P21</f>
        <v>856133.197111296</v>
      </c>
      <c r="L12" s="1">
        <f>Общее!Q21</f>
        <v>1.4</v>
      </c>
      <c r="M12" s="3">
        <f>Общее!R21</f>
        <v>25194.846636959999</v>
      </c>
      <c r="N12" s="1">
        <f>Общее!S21</f>
        <v>0</v>
      </c>
      <c r="O12" s="3">
        <f>Общее!T21</f>
        <v>0</v>
      </c>
      <c r="P12" s="1">
        <f>Общее!U21</f>
        <v>56.16</v>
      </c>
      <c r="Q12" s="3">
        <f>Общее!V21</f>
        <v>155280.67168723198</v>
      </c>
      <c r="R12" s="1">
        <f>Общее!W21</f>
        <v>0</v>
      </c>
      <c r="S12" s="3">
        <f>Общее!X21</f>
        <v>0</v>
      </c>
      <c r="T12" s="1">
        <f>Общее!Y21</f>
        <v>61.8</v>
      </c>
      <c r="U12" s="3">
        <f>Общее!Z21</f>
        <v>170875.09811736</v>
      </c>
      <c r="V12" s="1">
        <v>5225</v>
      </c>
      <c r="W12">
        <f>D12-V12</f>
        <v>7575</v>
      </c>
    </row>
    <row r="13" spans="1:23" ht="31.5" x14ac:dyDescent="0.25">
      <c r="A13" s="5">
        <v>7</v>
      </c>
      <c r="B13" s="28" t="str">
        <f>Общее!B22</f>
        <v>Ремонт ул. Заречной от ПК00+00 (ул. Искра) до ПК06+80 (дом № 1а по ул. Мостовая) в с. Верхнениколаевское в Адлерском районе города Сочи</v>
      </c>
      <c r="C13" s="21">
        <f>Общее!C22</f>
        <v>0.68</v>
      </c>
      <c r="D13" s="22">
        <f>Общее!D22</f>
        <v>4557</v>
      </c>
      <c r="E13" s="1" t="str">
        <f>Общее!I22</f>
        <v>асф.</v>
      </c>
      <c r="F13" s="4" t="str">
        <f>Общее!K22</f>
        <v>В администрации города Сочи поступали обращение жителей и депутата Государственной Думы о необходимости ремонта дорожного полотна.</v>
      </c>
      <c r="G13" s="2">
        <f>Общее!L22</f>
        <v>4720893</v>
      </c>
      <c r="H13" s="1">
        <f>Общее!M22</f>
        <v>11.32</v>
      </c>
      <c r="I13" s="3">
        <f>Общее!N22</f>
        <v>10276.328900447998</v>
      </c>
      <c r="J13" s="1">
        <f>Общее!O22</f>
        <v>0</v>
      </c>
      <c r="K13" s="33">
        <f>Общее!P22</f>
        <v>0</v>
      </c>
      <c r="L13" s="1">
        <f>Общее!Q22</f>
        <v>0</v>
      </c>
      <c r="M13" s="3">
        <f>Общее!R22</f>
        <v>0</v>
      </c>
      <c r="N13" s="1">
        <f>Общее!S22</f>
        <v>0</v>
      </c>
      <c r="O13" s="3">
        <f>Общее!T22</f>
        <v>0</v>
      </c>
      <c r="P13" s="1">
        <f>Общее!U22</f>
        <v>18.75</v>
      </c>
      <c r="Q13" s="3">
        <f>Общее!V22</f>
        <v>51843.172972499997</v>
      </c>
      <c r="R13" s="1">
        <f>Общее!W22</f>
        <v>0</v>
      </c>
      <c r="S13" s="3">
        <f>Общее!X22</f>
        <v>0</v>
      </c>
      <c r="T13" s="1">
        <f>Общее!Y22</f>
        <v>0</v>
      </c>
      <c r="U13" s="3">
        <f>Общее!Z22</f>
        <v>0</v>
      </c>
      <c r="V13" s="1">
        <v>4557</v>
      </c>
      <c r="W13">
        <f>D13-V13</f>
        <v>0</v>
      </c>
    </row>
    <row r="14" spans="1:23" ht="31.5" x14ac:dyDescent="0.25">
      <c r="A14" s="5">
        <v>8</v>
      </c>
      <c r="B14" s="28" t="str">
        <f>Общее!B23</f>
        <v>Ремонт ул. Защитников Кавказа от ПК00+00 (ул. Калиновая) до ПК48+00 (ул. Ачишховская) в пгт. Красная Поляна в Адлерском районе города Сочи</v>
      </c>
      <c r="C14" s="21">
        <f>Общее!C23</f>
        <v>5.5</v>
      </c>
      <c r="D14" s="22">
        <f>Общее!D23</f>
        <v>26900</v>
      </c>
      <c r="E14" s="1" t="str">
        <f>Общее!I23</f>
        <v>асф.</v>
      </c>
      <c r="F14" s="4" t="str">
        <f>Общее!K23</f>
        <v xml:space="preserve">Обращения граждан, письма администацрии сельского округа. Также по данной автомобильной дороге осуществляются регулярные пассажирские перевозки маршрут №63 (ПГТ Красная Поляна  (ост. Вертодром) - б/о Красная Поляна - ж/д вокзал Эсто-Садок - ж/д вокзал Роза Хутор). </v>
      </c>
      <c r="G14" s="2">
        <f>Общее!L23</f>
        <v>34789638</v>
      </c>
      <c r="H14" s="1">
        <f>Общее!M23</f>
        <v>792.1</v>
      </c>
      <c r="I14" s="3">
        <f>Общее!N23</f>
        <v>307354.26348119997</v>
      </c>
      <c r="J14" s="1">
        <f>Общее!O23</f>
        <v>0</v>
      </c>
      <c r="K14" s="33">
        <f>Общее!P23</f>
        <v>0</v>
      </c>
      <c r="L14" s="1">
        <f>Общее!Q23</f>
        <v>0</v>
      </c>
      <c r="M14" s="3">
        <f>Общее!R23</f>
        <v>0</v>
      </c>
      <c r="N14" s="1">
        <f>Общее!S23</f>
        <v>0</v>
      </c>
      <c r="O14" s="3">
        <f>Общее!T23</f>
        <v>0</v>
      </c>
      <c r="P14" s="1">
        <f>Общее!U23</f>
        <v>240</v>
      </c>
      <c r="Q14" s="3">
        <f>Общее!V23</f>
        <v>663592.61404799996</v>
      </c>
      <c r="R14" s="1">
        <f>Общее!W23</f>
        <v>0</v>
      </c>
      <c r="S14" s="3">
        <f>Общее!X23</f>
        <v>0</v>
      </c>
      <c r="T14" s="1">
        <f>Общее!Y23</f>
        <v>0</v>
      </c>
      <c r="U14" s="3">
        <f>Общее!Z23</f>
        <v>0</v>
      </c>
      <c r="V14" s="1">
        <v>22040</v>
      </c>
      <c r="W14">
        <f>D14-V14</f>
        <v>4860</v>
      </c>
    </row>
    <row r="15" spans="1:23" ht="31.5" x14ac:dyDescent="0.25">
      <c r="A15" s="5">
        <v>9</v>
      </c>
      <c r="B15" s="28" t="str">
        <f>Общее!B24</f>
        <v>Ремонт ул. Липецкой от ПК00+00 (ул. Брянская) до ПК15+50 в с. Липники в Адлерском районе города Сочи</v>
      </c>
      <c r="C15" s="21">
        <f>Общее!C24</f>
        <v>1.5</v>
      </c>
      <c r="D15" s="22">
        <f>Общее!D24</f>
        <v>6510</v>
      </c>
      <c r="E15" s="1" t="str">
        <f>Общее!I24</f>
        <v>асф.</v>
      </c>
      <c r="F15" s="4" t="str">
        <f>Общее!K24</f>
        <v>Письмо ГСС, обращения граждан (6шт.)</v>
      </c>
      <c r="G15" s="2">
        <f>Общее!L24</f>
        <v>9358242</v>
      </c>
      <c r="H15" s="1">
        <f>Общее!M24</f>
        <v>641.22</v>
      </c>
      <c r="I15" s="3">
        <f>Общее!N24</f>
        <v>484962.79615055997</v>
      </c>
      <c r="J15" s="1">
        <f>Общее!O24</f>
        <v>0</v>
      </c>
      <c r="K15" s="33">
        <f>Общее!P24</f>
        <v>0</v>
      </c>
      <c r="L15" s="1">
        <f>Общее!Q24</f>
        <v>0</v>
      </c>
      <c r="M15" s="3">
        <f>Общее!R24</f>
        <v>0</v>
      </c>
      <c r="N15" s="1">
        <f>Общее!S24</f>
        <v>0</v>
      </c>
      <c r="O15" s="3">
        <f>Общее!T24</f>
        <v>0</v>
      </c>
      <c r="P15" s="1">
        <f>Общее!U24</f>
        <v>22.5</v>
      </c>
      <c r="Q15" s="3">
        <f>Общее!V24</f>
        <v>62211.807566999996</v>
      </c>
      <c r="R15" s="1">
        <f>Общее!W24</f>
        <v>0</v>
      </c>
      <c r="S15" s="3">
        <f>Общее!X24</f>
        <v>0</v>
      </c>
      <c r="T15" s="1">
        <f>Общее!Y24</f>
        <v>0</v>
      </c>
      <c r="U15" s="3">
        <f>Общее!Z24</f>
        <v>0</v>
      </c>
      <c r="V15" s="1">
        <v>950</v>
      </c>
      <c r="W15">
        <f>D15-V15</f>
        <v>5560</v>
      </c>
    </row>
    <row r="16" spans="1:23" ht="31.5" x14ac:dyDescent="0.25">
      <c r="A16" s="5">
        <v>10</v>
      </c>
      <c r="B16" s="28" t="str">
        <f>Общее!B25</f>
        <v>Ремонт ул. Мичурина от ПК00+00 (дом № 1) до ПК11+15 (дом № 41а) в с. Каштаны в Адлерском районе города Сочи</v>
      </c>
      <c r="C16" s="21">
        <f>Общее!C25</f>
        <v>1.115</v>
      </c>
      <c r="D16" s="22">
        <f>Общее!D25</f>
        <v>4900</v>
      </c>
      <c r="E16" s="1" t="str">
        <f>Общее!I25</f>
        <v>асф.</v>
      </c>
      <c r="F16" s="4" t="str">
        <f>Общее!K25</f>
        <v>Поручение Главы города Сочи, также по данной автомобильной дороге осуществляются регулярные пассажирские перевозки маршрут №127 (ж/д вокзал Хоста - село Калиновое озеро - село Воронцовка). Данная автомобильная дорога является подъездной к объекту показа "Воронцовские пещеры</v>
      </c>
      <c r="G16" s="2">
        <f>Общее!L25</f>
        <v>7081763</v>
      </c>
      <c r="H16" s="1">
        <f>Общее!M25</f>
        <v>479.03</v>
      </c>
      <c r="I16" s="3">
        <f>Общее!N25</f>
        <v>441022.29013595998</v>
      </c>
      <c r="J16" s="1">
        <f>Общее!O25</f>
        <v>0</v>
      </c>
      <c r="K16" s="33">
        <f>Общее!P25</f>
        <v>0</v>
      </c>
      <c r="L16" s="1">
        <f>Общее!Q25</f>
        <v>0</v>
      </c>
      <c r="M16" s="3">
        <f>Общее!R25</f>
        <v>0</v>
      </c>
      <c r="N16" s="1">
        <f>Общее!S25</f>
        <v>0</v>
      </c>
      <c r="O16" s="3">
        <f>Общее!T25</f>
        <v>0</v>
      </c>
      <c r="P16" s="1">
        <f>Общее!U25</f>
        <v>25</v>
      </c>
      <c r="Q16" s="3">
        <f>Общее!V25</f>
        <v>69124.230630000005</v>
      </c>
      <c r="R16" s="1">
        <f>Общее!W25</f>
        <v>0</v>
      </c>
      <c r="S16" s="3">
        <f>Общее!X25</f>
        <v>0</v>
      </c>
      <c r="T16" s="1">
        <f>Общее!Y25</f>
        <v>0</v>
      </c>
      <c r="U16" s="3">
        <f>Общее!Z25</f>
        <v>0</v>
      </c>
      <c r="V16" s="1">
        <v>4900</v>
      </c>
      <c r="W16">
        <f>D16-V16</f>
        <v>0</v>
      </c>
    </row>
    <row r="17" spans="1:23" ht="31.5" x14ac:dyDescent="0.25">
      <c r="A17" s="5">
        <v>11</v>
      </c>
      <c r="B17" s="28" t="str">
        <f>Общее!B26</f>
        <v>Ремонт ул. Налбандяна от ПК00+00 (ул. Светогорская) до ПК04+30 (дом № 12 по ул. Налбандяна) в с. Нижняя Шиловка в Адлерском районе города Сочи</v>
      </c>
      <c r="C17" s="21">
        <f>Общее!C26</f>
        <v>0.43</v>
      </c>
      <c r="D17" s="22">
        <f>Общее!D26</f>
        <v>1400</v>
      </c>
      <c r="E17" s="1" t="str">
        <f>Общее!I26</f>
        <v>асф.</v>
      </c>
      <c r="F17" s="4" t="str">
        <f>Общее!K26</f>
        <v>Данная автомобильная дорога является подъездной к кварталу жилой застройки.</v>
      </c>
      <c r="G17" s="2">
        <f>Общее!L26</f>
        <v>1715093</v>
      </c>
      <c r="H17" s="1">
        <f>Общее!M26</f>
        <v>11.32</v>
      </c>
      <c r="I17" s="3">
        <f>Общее!N26</f>
        <v>7866.0017354880001</v>
      </c>
      <c r="J17" s="1">
        <f>Общее!O26</f>
        <v>0</v>
      </c>
      <c r="K17" s="33">
        <f>Общее!P26</f>
        <v>0</v>
      </c>
      <c r="L17" s="1">
        <f>Общее!Q26</f>
        <v>0</v>
      </c>
      <c r="M17" s="3">
        <f>Общее!R26</f>
        <v>0</v>
      </c>
      <c r="N17" s="1">
        <f>Общее!S26</f>
        <v>0</v>
      </c>
      <c r="O17" s="3">
        <f>Общее!T26</f>
        <v>0</v>
      </c>
      <c r="P17" s="1">
        <f>Общее!U26</f>
        <v>6.25</v>
      </c>
      <c r="Q17" s="3">
        <f>Общее!V26</f>
        <v>17281.057657500001</v>
      </c>
      <c r="R17" s="1">
        <f>Общее!W26</f>
        <v>0</v>
      </c>
      <c r="S17" s="3">
        <f>Общее!X26</f>
        <v>0</v>
      </c>
      <c r="T17" s="1">
        <f>Общее!Y26</f>
        <v>0</v>
      </c>
      <c r="U17" s="3">
        <f>Общее!Z26</f>
        <v>0</v>
      </c>
      <c r="V17" s="1">
        <v>1400</v>
      </c>
      <c r="W17">
        <f>D17-V17</f>
        <v>0</v>
      </c>
    </row>
    <row r="18" spans="1:23" ht="31.5" x14ac:dyDescent="0.25">
      <c r="A18" s="5">
        <v>12</v>
      </c>
      <c r="B18" s="28" t="str">
        <f>Общее!B27</f>
        <v xml:space="preserve"> Ремонт ул. Петрозаводской от ПК00+00 (ул. Гастелло) до ПК28+70 (дом № 63) в с. Орел-Изумруд в Адлерском районе города Сочи</v>
      </c>
      <c r="C18" s="21">
        <f>Общее!C27</f>
        <v>2.87</v>
      </c>
      <c r="D18" s="22">
        <f>Общее!D27</f>
        <v>20988</v>
      </c>
      <c r="E18" s="1" t="str">
        <f>Общее!I27</f>
        <v>асф.</v>
      </c>
      <c r="F18" s="4" t="str">
        <f>Общее!K27</f>
        <v>Администрации горда Сочи выдано представление прокуратуры Адлерского района города Сочи №7-01-2018 о устранении недостатков эксплуатационного состояния проезжей части данной автомобильной дороги</v>
      </c>
      <c r="G18" s="2">
        <f>Общее!L27</f>
        <v>25461443</v>
      </c>
      <c r="H18" s="1">
        <f>Общее!M27</f>
        <v>202.17999999999998</v>
      </c>
      <c r="I18" s="3">
        <f>Общее!N27</f>
        <v>173136.610331256</v>
      </c>
      <c r="J18" s="1">
        <f>Общее!O27</f>
        <v>0</v>
      </c>
      <c r="K18" s="33">
        <f>Общее!P27</f>
        <v>0</v>
      </c>
      <c r="L18" s="1">
        <f>Общее!Q27</f>
        <v>0</v>
      </c>
      <c r="M18" s="3">
        <f>Общее!R27</f>
        <v>0</v>
      </c>
      <c r="N18" s="1">
        <f>Общее!S27</f>
        <v>0</v>
      </c>
      <c r="O18" s="3">
        <f>Общее!T27</f>
        <v>0</v>
      </c>
      <c r="P18" s="1">
        <f>Общее!U27</f>
        <v>160.02000000000001</v>
      </c>
      <c r="Q18" s="3">
        <f>Общее!V27</f>
        <v>442450.37541650404</v>
      </c>
      <c r="R18" s="1">
        <f>Общее!W27</f>
        <v>0</v>
      </c>
      <c r="S18" s="3">
        <f>Общее!X27</f>
        <v>0</v>
      </c>
      <c r="T18" s="1">
        <f>Общее!Y27</f>
        <v>18.54</v>
      </c>
      <c r="U18" s="3">
        <f>Общее!Z27</f>
        <v>51262.529435207995</v>
      </c>
      <c r="V18" s="1">
        <v>6200</v>
      </c>
      <c r="W18">
        <f>D18-V18</f>
        <v>14788</v>
      </c>
    </row>
    <row r="19" spans="1:23" ht="31.5" x14ac:dyDescent="0.25">
      <c r="A19" s="5">
        <v>13</v>
      </c>
      <c r="B19" s="28" t="str">
        <f>Общее!B28</f>
        <v>Ремонт ул. Гаражной от ПК00+00 (дом № 65 по ул. Эстонская) до ПК03+60 (дом № 55/1 по ул. Березовая) в с. Эстосадок в Адлерском районе города Сочи</v>
      </c>
      <c r="C19" s="21">
        <f>Общее!C28</f>
        <v>0.36</v>
      </c>
      <c r="D19" s="22">
        <f>Общее!D28</f>
        <v>2232</v>
      </c>
      <c r="E19" s="1" t="str">
        <f>Общее!I28</f>
        <v>асф.</v>
      </c>
      <c r="F19" s="4" t="str">
        <f>Общее!K28</f>
        <v>Письмо администраации сельского округа.</v>
      </c>
      <c r="G19" s="2">
        <f>Общее!L28</f>
        <v>2837432</v>
      </c>
      <c r="H19" s="1">
        <f>Общее!M28</f>
        <v>12.57</v>
      </c>
      <c r="I19" s="3">
        <f>Общее!N28</f>
        <v>4467.1698910799996</v>
      </c>
      <c r="J19" s="1">
        <f>Общее!O28</f>
        <v>0</v>
      </c>
      <c r="K19" s="33">
        <f>Общее!P28</f>
        <v>0</v>
      </c>
      <c r="L19" s="1">
        <f>Общее!Q28</f>
        <v>0</v>
      </c>
      <c r="M19" s="3">
        <f>Общее!R28</f>
        <v>0</v>
      </c>
      <c r="N19" s="1">
        <f>Общее!S28</f>
        <v>0</v>
      </c>
      <c r="O19" s="3">
        <f>Общее!T28</f>
        <v>0</v>
      </c>
      <c r="P19" s="1">
        <f>Общее!U28</f>
        <v>2.5</v>
      </c>
      <c r="Q19" s="3">
        <f>Общее!V28</f>
        <v>6912.4230630000002</v>
      </c>
      <c r="R19" s="1">
        <f>Общее!W28</f>
        <v>0</v>
      </c>
      <c r="S19" s="3">
        <f>Общее!X28</f>
        <v>0</v>
      </c>
      <c r="T19" s="1">
        <f>Общее!Y28</f>
        <v>20.6</v>
      </c>
      <c r="U19" s="3">
        <f>Общее!Z28</f>
        <v>56958.366039120003</v>
      </c>
      <c r="V19" s="1">
        <v>410</v>
      </c>
      <c r="W19">
        <f>D19-V19</f>
        <v>1822</v>
      </c>
    </row>
    <row r="20" spans="1:23" ht="31.5" x14ac:dyDescent="0.25">
      <c r="A20" s="5">
        <v>14</v>
      </c>
      <c r="B20" s="28" t="str">
        <f>Общее!B29</f>
        <v>Ремонт ул. Вознесенской от ПК00+00 (дом №1) до ПК15+00 (ул. Защитников Кавказа) в пгт. Красная Поляна в Адлерском районе города Сочи</v>
      </c>
      <c r="C20" s="21">
        <f>Общее!C29</f>
        <v>1.5</v>
      </c>
      <c r="D20" s="22">
        <f>Общее!D29</f>
        <v>10280</v>
      </c>
      <c r="E20" s="1" t="str">
        <f>Общее!I29</f>
        <v>асф.</v>
      </c>
      <c r="F20" s="4" t="str">
        <f>Общее!K29</f>
        <v>Предписание ОГИБДД, обращение граждан</v>
      </c>
      <c r="G20" s="2">
        <f>Общее!L29</f>
        <v>15269372</v>
      </c>
      <c r="H20" s="1">
        <f>Общее!M29</f>
        <v>0.88</v>
      </c>
      <c r="I20" s="3">
        <f>Общее!N29</f>
        <v>370.16354918400003</v>
      </c>
      <c r="J20" s="1">
        <f>Общее!O29</f>
        <v>962.20799999999997</v>
      </c>
      <c r="K20" s="33">
        <f>Общее!P29</f>
        <v>687581.97393000964</v>
      </c>
      <c r="L20" s="1">
        <f>Общее!Q29</f>
        <v>0</v>
      </c>
      <c r="M20" s="3">
        <f>Общее!R29</f>
        <v>0</v>
      </c>
      <c r="N20" s="1">
        <f>Общее!S29</f>
        <v>0</v>
      </c>
      <c r="O20" s="3">
        <f>Общее!T29</f>
        <v>0</v>
      </c>
      <c r="P20" s="1">
        <f>Общее!U29</f>
        <v>0</v>
      </c>
      <c r="Q20" s="3">
        <f>Общее!V29</f>
        <v>0</v>
      </c>
      <c r="R20" s="1">
        <f>Общее!W29</f>
        <v>0</v>
      </c>
      <c r="S20" s="3">
        <f>Общее!X29</f>
        <v>0</v>
      </c>
      <c r="T20" s="1">
        <f>Общее!Y29</f>
        <v>2.06</v>
      </c>
      <c r="U20" s="3">
        <f>Общее!Z29</f>
        <v>5695.8366039120001</v>
      </c>
      <c r="V20" s="1">
        <v>1950</v>
      </c>
      <c r="W20">
        <f>D20-V20</f>
        <v>8330</v>
      </c>
    </row>
    <row r="21" spans="1:23" ht="31.5" x14ac:dyDescent="0.25">
      <c r="A21" s="5">
        <v>15</v>
      </c>
      <c r="B21" s="28" t="str">
        <f>Общее!B45</f>
        <v>Ремонт ул. Пограничной от ПК00+00 (ул. Мира) до ПК11+65 (дом № 34) в с. Веселое в Адлерском районе города Сочи</v>
      </c>
      <c r="C21" s="21">
        <f>Общее!C45</f>
        <v>1.165</v>
      </c>
      <c r="D21" s="22">
        <f>Общее!D45</f>
        <v>6480</v>
      </c>
      <c r="E21" s="1" t="str">
        <f>Общее!I45</f>
        <v>асф.</v>
      </c>
      <c r="F21" s="1" t="str">
        <f>Общее!K45</f>
        <v>Обращения граждан (2 шт.). Письмо администрации сельского округа.</v>
      </c>
      <c r="G21" s="2">
        <f>Общее!L45</f>
        <v>10243499</v>
      </c>
      <c r="H21" s="1">
        <f>Общее!M45</f>
        <v>11.32</v>
      </c>
      <c r="I21" s="3">
        <f>Общее!N45</f>
        <v>8422.3963306080004</v>
      </c>
      <c r="J21" s="1">
        <f>Общее!O45</f>
        <v>0</v>
      </c>
      <c r="K21" s="3">
        <f>Общее!P45</f>
        <v>0</v>
      </c>
      <c r="L21" s="1">
        <f>Общее!Q45</f>
        <v>0</v>
      </c>
      <c r="M21" s="1">
        <f>Общее!R45</f>
        <v>0</v>
      </c>
      <c r="N21" s="1">
        <f>Общее!S45</f>
        <v>0</v>
      </c>
      <c r="O21" s="1">
        <f>Общее!T45</f>
        <v>0</v>
      </c>
      <c r="P21" s="1">
        <f>Общее!U45</f>
        <v>37.5</v>
      </c>
      <c r="Q21" s="3">
        <f>Общее!V45</f>
        <v>103686.34594499999</v>
      </c>
      <c r="R21" s="1">
        <f>Общее!W45</f>
        <v>0</v>
      </c>
      <c r="S21" s="3">
        <f>Общее!X45</f>
        <v>0</v>
      </c>
      <c r="T21" s="1">
        <f>Общее!Y45</f>
        <v>0</v>
      </c>
      <c r="U21" s="3">
        <f>Общее!Z45</f>
        <v>0</v>
      </c>
      <c r="V21" s="1">
        <v>6480</v>
      </c>
      <c r="W21">
        <f>D21-V21</f>
        <v>0</v>
      </c>
    </row>
    <row r="22" spans="1:23" ht="31.5" x14ac:dyDescent="0.25">
      <c r="A22" s="5">
        <v>16</v>
      </c>
      <c r="B22" s="28" t="str">
        <f>Общее!B58</f>
        <v>Ремонт ул. Пещеры от ПК00+00 (дом № 8 по ул. Шолоховская) до ПК22+00 в с. Воронцовка в Адлерском районе города Сочи</v>
      </c>
      <c r="C22" s="21">
        <f>Общее!C58</f>
        <v>2.2000000000000002</v>
      </c>
      <c r="D22" s="22">
        <f>Общее!D58</f>
        <v>8360</v>
      </c>
      <c r="E22" s="1" t="str">
        <f>Общее!I58</f>
        <v>асф.</v>
      </c>
      <c r="F22" s="1" t="str">
        <f>Общее!K58</f>
        <v>В адрес администрации города Сочи поступило обращение о необходимости ремонта дорожного полотна.  Также поручение Главы города Сочи. По данной автомобильной дороге осуществляются регулярные пассажирские перевозки маршрут №127 (ж/д вокзал Хоста - село Калиновое озеро - село Воронцовка). Данная автомобильная дорога является подъездной к объекту показа "Воронцовские пещеры</v>
      </c>
      <c r="G22" s="2">
        <f>Общее!L58</f>
        <v>15185070</v>
      </c>
      <c r="H22" s="1">
        <f>Общее!M58</f>
        <v>697.8</v>
      </c>
      <c r="I22" s="3">
        <f>Общее!N58</f>
        <v>519182.69960231998</v>
      </c>
      <c r="J22" s="1">
        <f>Общее!O58</f>
        <v>0</v>
      </c>
      <c r="K22" s="1">
        <f>Общее!P58</f>
        <v>0</v>
      </c>
      <c r="L22" s="1">
        <f>Общее!Q58</f>
        <v>9.8000000000000007</v>
      </c>
      <c r="M22" s="3">
        <f>Общее!R58</f>
        <v>176966.37287783998</v>
      </c>
      <c r="N22" s="1">
        <f>Общее!S58</f>
        <v>0</v>
      </c>
      <c r="O22" s="1">
        <f>Общее!T58</f>
        <v>0</v>
      </c>
      <c r="P22" s="1">
        <f>Общее!U58</f>
        <v>37.5</v>
      </c>
      <c r="Q22" s="3">
        <f>Общее!V58</f>
        <v>103686.34594499999</v>
      </c>
      <c r="R22" s="1">
        <f>Общее!W58</f>
        <v>0</v>
      </c>
      <c r="S22" s="3">
        <f>Общее!X58</f>
        <v>0</v>
      </c>
      <c r="T22" s="1">
        <f>Общее!Y58</f>
        <v>0</v>
      </c>
      <c r="U22" s="3">
        <f>Общее!Z58</f>
        <v>0</v>
      </c>
      <c r="V22" s="1">
        <v>8360</v>
      </c>
      <c r="W22">
        <f>D22-V22</f>
        <v>0</v>
      </c>
    </row>
    <row r="23" spans="1:23" ht="15.75" customHeight="1" x14ac:dyDescent="0.25">
      <c r="A23" s="47" t="s">
        <v>26</v>
      </c>
      <c r="B23" s="47"/>
      <c r="C23" s="14">
        <f t="shared" ref="C23:U23" si="0">SUM(C7:C22)</f>
        <v>23.937999999999995</v>
      </c>
      <c r="D23" s="7">
        <f t="shared" si="0"/>
        <v>133597</v>
      </c>
      <c r="E23" s="7">
        <f t="shared" si="0"/>
        <v>0</v>
      </c>
      <c r="F23" s="7">
        <f t="shared" si="0"/>
        <v>0</v>
      </c>
      <c r="G23" s="7">
        <f t="shared" si="0"/>
        <v>205847402</v>
      </c>
      <c r="H23" s="7">
        <f t="shared" si="0"/>
        <v>3459.4800000000005</v>
      </c>
      <c r="I23" s="7">
        <f t="shared" si="0"/>
        <v>2417800.4207994002</v>
      </c>
      <c r="J23" s="7">
        <f t="shared" si="0"/>
        <v>2160.288</v>
      </c>
      <c r="K23" s="7">
        <f t="shared" si="0"/>
        <v>1543715.1710413056</v>
      </c>
      <c r="L23" s="7">
        <f t="shared" si="0"/>
        <v>16.451799999999999</v>
      </c>
      <c r="M23" s="7">
        <f t="shared" si="0"/>
        <v>287424.73051969556</v>
      </c>
      <c r="N23" s="7">
        <f t="shared" si="0"/>
        <v>1549.32</v>
      </c>
      <c r="O23" s="7">
        <f t="shared" si="0"/>
        <v>4285939.0686933603</v>
      </c>
      <c r="P23" s="7">
        <f t="shared" si="0"/>
        <v>793.88</v>
      </c>
      <c r="Q23" s="7">
        <f t="shared" si="0"/>
        <v>2195053.7685017758</v>
      </c>
      <c r="R23" s="7">
        <f t="shared" si="0"/>
        <v>1337.94</v>
      </c>
      <c r="S23" s="7">
        <f t="shared" si="0"/>
        <v>3699362.9251640881</v>
      </c>
      <c r="T23" s="7">
        <f t="shared" si="0"/>
        <v>103</v>
      </c>
      <c r="U23" s="7">
        <f t="shared" si="0"/>
        <v>284791.83019559999</v>
      </c>
      <c r="W23">
        <f>D23-V23</f>
        <v>133597</v>
      </c>
    </row>
    <row r="25" spans="1:23" ht="15.75" x14ac:dyDescent="0.25">
      <c r="A25" s="37" t="s">
        <v>146</v>
      </c>
      <c r="B25" s="37"/>
      <c r="C25" s="37"/>
      <c r="D25" s="37"/>
      <c r="E25" s="37"/>
    </row>
  </sheetData>
  <mergeCells count="18">
    <mergeCell ref="A23:B23"/>
    <mergeCell ref="F4:F6"/>
    <mergeCell ref="G4:G6"/>
    <mergeCell ref="H4:M4"/>
    <mergeCell ref="A4:A6"/>
    <mergeCell ref="B4:B6"/>
    <mergeCell ref="C4:C6"/>
    <mergeCell ref="D4:D6"/>
    <mergeCell ref="A3:E3"/>
    <mergeCell ref="N4:U4"/>
    <mergeCell ref="H5:I5"/>
    <mergeCell ref="J5:K5"/>
    <mergeCell ref="L5:M5"/>
    <mergeCell ref="N5:O5"/>
    <mergeCell ref="P5:Q5"/>
    <mergeCell ref="R5:S5"/>
    <mergeCell ref="T5:U5"/>
    <mergeCell ref="E4:E6"/>
  </mergeCells>
  <pageMargins left="0.7" right="0.7" top="0.75" bottom="0.75" header="0.3" footer="0.3"/>
  <pageSetup paperSize="9"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4"/>
  <sheetViews>
    <sheetView view="pageBreakPreview" topLeftCell="A3" zoomScale="60" zoomScaleNormal="60" workbookViewId="0">
      <selection activeCell="E24" sqref="A24:E24"/>
    </sheetView>
  </sheetViews>
  <sheetFormatPr defaultRowHeight="15" x14ac:dyDescent="0.25"/>
  <cols>
    <col min="1" max="1" width="5.5703125" customWidth="1"/>
    <col min="2" max="2" width="100.5703125" customWidth="1"/>
    <col min="3" max="3" width="10.85546875" customWidth="1"/>
    <col min="4" max="4" width="14.5703125" customWidth="1"/>
    <col min="5" max="5" width="15" customWidth="1"/>
    <col min="6" max="6" width="17.42578125" hidden="1" customWidth="1"/>
    <col min="7" max="7" width="22" hidden="1" customWidth="1"/>
    <col min="8" max="8" width="11.7109375" hidden="1" customWidth="1"/>
    <col min="9" max="9" width="17.28515625" hidden="1" customWidth="1"/>
    <col min="10" max="10" width="11.7109375" hidden="1" customWidth="1"/>
    <col min="11" max="11" width="17.28515625" hidden="1" customWidth="1"/>
    <col min="12" max="13" width="8.7109375" hidden="1" customWidth="1"/>
    <col min="14" max="14" width="10.85546875" hidden="1" customWidth="1"/>
    <col min="15" max="15" width="15.140625" hidden="1" customWidth="1"/>
    <col min="16" max="16" width="9.85546875" hidden="1" customWidth="1"/>
    <col min="17" max="17" width="15.140625" hidden="1" customWidth="1"/>
    <col min="18" max="19" width="7.42578125" hidden="1" customWidth="1"/>
    <col min="20" max="20" width="9.140625" hidden="1" customWidth="1"/>
    <col min="21" max="21" width="14.140625" hidden="1" customWidth="1"/>
  </cols>
  <sheetData>
    <row r="1" spans="1:21" ht="21" hidden="1" customHeight="1" x14ac:dyDescent="0.25">
      <c r="E1" s="38" t="s">
        <v>144</v>
      </c>
    </row>
    <row r="2" spans="1:21" ht="15.75" hidden="1" x14ac:dyDescent="0.25">
      <c r="E2" s="37"/>
    </row>
    <row r="3" spans="1:21" ht="41.25" customHeight="1" x14ac:dyDescent="0.25">
      <c r="A3" s="45" t="s">
        <v>145</v>
      </c>
      <c r="B3" s="45"/>
      <c r="C3" s="45"/>
      <c r="D3" s="45"/>
      <c r="E3" s="45"/>
    </row>
    <row r="4" spans="1:21" ht="15.75" customHeight="1" x14ac:dyDescent="0.25">
      <c r="A4" s="40" t="s">
        <v>9</v>
      </c>
      <c r="B4" s="43" t="s">
        <v>0</v>
      </c>
      <c r="C4" s="43" t="s">
        <v>1</v>
      </c>
      <c r="D4" s="43" t="s">
        <v>2</v>
      </c>
      <c r="E4" s="43" t="s">
        <v>4</v>
      </c>
      <c r="F4" s="43" t="s">
        <v>5</v>
      </c>
      <c r="G4" s="43" t="s">
        <v>7</v>
      </c>
      <c r="H4" s="46" t="s">
        <v>10</v>
      </c>
      <c r="I4" s="46"/>
      <c r="J4" s="46"/>
      <c r="K4" s="46"/>
      <c r="L4" s="46"/>
      <c r="M4" s="46"/>
      <c r="N4" s="46" t="s">
        <v>18</v>
      </c>
      <c r="O4" s="46"/>
      <c r="P4" s="46"/>
      <c r="Q4" s="46"/>
      <c r="R4" s="46"/>
      <c r="S4" s="46"/>
      <c r="T4" s="46"/>
      <c r="U4" s="46"/>
    </row>
    <row r="5" spans="1:21" ht="15.75" customHeight="1" x14ac:dyDescent="0.25">
      <c r="A5" s="41"/>
      <c r="B5" s="43"/>
      <c r="C5" s="43"/>
      <c r="D5" s="43"/>
      <c r="E5" s="43"/>
      <c r="F5" s="43"/>
      <c r="G5" s="43"/>
      <c r="H5" s="46" t="s">
        <v>17</v>
      </c>
      <c r="I5" s="46"/>
      <c r="J5" s="46" t="s">
        <v>11</v>
      </c>
      <c r="K5" s="46"/>
      <c r="L5" s="46" t="s">
        <v>12</v>
      </c>
      <c r="M5" s="46"/>
      <c r="N5" s="46" t="s">
        <v>22</v>
      </c>
      <c r="O5" s="46"/>
      <c r="P5" s="46" t="s">
        <v>19</v>
      </c>
      <c r="Q5" s="46"/>
      <c r="R5" s="46" t="s">
        <v>20</v>
      </c>
      <c r="S5" s="46"/>
      <c r="T5" s="46" t="s">
        <v>21</v>
      </c>
      <c r="U5" s="46"/>
    </row>
    <row r="6" spans="1:21" ht="15.75" x14ac:dyDescent="0.25">
      <c r="A6" s="42"/>
      <c r="B6" s="43"/>
      <c r="C6" s="43"/>
      <c r="D6" s="43"/>
      <c r="E6" s="43"/>
      <c r="F6" s="43"/>
      <c r="G6" s="43"/>
      <c r="H6" s="6" t="s">
        <v>14</v>
      </c>
      <c r="I6" s="6" t="s">
        <v>15</v>
      </c>
      <c r="J6" s="6" t="s">
        <v>13</v>
      </c>
      <c r="K6" s="6" t="s">
        <v>15</v>
      </c>
      <c r="L6" s="6" t="s">
        <v>13</v>
      </c>
      <c r="M6" s="6" t="s">
        <v>15</v>
      </c>
      <c r="N6" s="6" t="s">
        <v>13</v>
      </c>
      <c r="O6" s="6" t="s">
        <v>15</v>
      </c>
      <c r="P6" s="6" t="s">
        <v>13</v>
      </c>
      <c r="Q6" s="6" t="s">
        <v>15</v>
      </c>
      <c r="R6" s="6" t="s">
        <v>13</v>
      </c>
      <c r="S6" s="6" t="s">
        <v>15</v>
      </c>
      <c r="T6" s="6" t="s">
        <v>13</v>
      </c>
      <c r="U6" s="6" t="s">
        <v>15</v>
      </c>
    </row>
    <row r="7" spans="1:21" ht="31.5" x14ac:dyDescent="0.25">
      <c r="A7" s="15">
        <v>1</v>
      </c>
      <c r="B7" s="27" t="str">
        <f>Общее!B4</f>
        <v>Ремонт пер. Алексеевского от ПК00+00 (ул. Алексеевская) до ПК04+80 в с. Алексеевское в Лазаревском районе города Сочи</v>
      </c>
      <c r="C7" s="21">
        <f>Общее!C4</f>
        <v>0.48</v>
      </c>
      <c r="D7" s="22">
        <f>Общее!D4</f>
        <v>1536</v>
      </c>
      <c r="E7" s="1" t="str">
        <f>Общее!I4</f>
        <v>асф.</v>
      </c>
      <c r="F7" s="4" t="str">
        <f>Общее!K4</f>
        <v>Письмо администраации сельского округа.</v>
      </c>
      <c r="G7" s="2">
        <f>Общее!L4</f>
        <v>2635278</v>
      </c>
      <c r="H7" s="1">
        <f>Общее!M4</f>
        <v>75.44</v>
      </c>
      <c r="I7" s="3">
        <f>Общее!N4</f>
        <v>46206.189714047992</v>
      </c>
      <c r="J7" s="1">
        <f>Общее!O4</f>
        <v>0</v>
      </c>
      <c r="K7" s="1">
        <f>Общее!P4</f>
        <v>0</v>
      </c>
      <c r="L7" s="1">
        <f>Общее!Q4</f>
        <v>0</v>
      </c>
      <c r="M7" s="1">
        <f>Общее!R4</f>
        <v>0</v>
      </c>
      <c r="N7" s="1">
        <f>Общее!S4</f>
        <v>0</v>
      </c>
      <c r="O7" s="3">
        <f>Общее!T4</f>
        <v>0</v>
      </c>
      <c r="P7" s="1">
        <f>Общее!U4</f>
        <v>60.68</v>
      </c>
      <c r="Q7" s="3">
        <f>Общее!V4</f>
        <v>167778.332585136</v>
      </c>
      <c r="R7" s="1">
        <f>Общее!W4</f>
        <v>0</v>
      </c>
      <c r="S7" s="3">
        <f>Общее!X4</f>
        <v>0</v>
      </c>
      <c r="T7" s="1">
        <f>Общее!Y4</f>
        <v>0</v>
      </c>
      <c r="U7" s="3">
        <f>Общее!Z4</f>
        <v>0</v>
      </c>
    </row>
    <row r="8" spans="1:21" ht="31.5" x14ac:dyDescent="0.25">
      <c r="A8" s="15">
        <v>2</v>
      </c>
      <c r="B8" s="27" t="str">
        <f>Общее!B5</f>
        <v>Ремонт пер. Кристального от ПК00+00 (ул. Ровная) до ПК02+60 в ауле Тхагапш в Лазаревском районе города Сочи</v>
      </c>
      <c r="C8" s="21">
        <f>Общее!C5</f>
        <v>0.26</v>
      </c>
      <c r="D8" s="22">
        <f>Общее!D5</f>
        <v>780</v>
      </c>
      <c r="E8" s="1" t="str">
        <f>Общее!I5</f>
        <v>асф.</v>
      </c>
      <c r="F8" s="4" t="str">
        <f>Общее!K5</f>
        <v>Данная автомобильная дорога является подъездной к кварталу жилой застройки.</v>
      </c>
      <c r="G8" s="2">
        <f>Общее!L5</f>
        <v>1315646</v>
      </c>
      <c r="H8" s="1">
        <f>Общее!M5</f>
        <v>0</v>
      </c>
      <c r="I8" s="1">
        <f>Общее!N5</f>
        <v>0</v>
      </c>
      <c r="J8" s="1">
        <f>Общее!O5</f>
        <v>0</v>
      </c>
      <c r="K8" s="1">
        <f>Общее!P5</f>
        <v>0</v>
      </c>
      <c r="L8" s="1">
        <f>Общее!Q5</f>
        <v>0</v>
      </c>
      <c r="M8" s="1">
        <f>Общее!R5</f>
        <v>0</v>
      </c>
      <c r="N8" s="1">
        <f>Общее!S5</f>
        <v>0</v>
      </c>
      <c r="O8" s="3">
        <f>Общее!T5</f>
        <v>0</v>
      </c>
      <c r="P8" s="1">
        <f>Общее!U5</f>
        <v>29.25</v>
      </c>
      <c r="Q8" s="3">
        <f>Общее!V5</f>
        <v>80875.349837100002</v>
      </c>
      <c r="R8" s="1">
        <f>Общее!W5</f>
        <v>0</v>
      </c>
      <c r="S8" s="3">
        <f>Общее!X5</f>
        <v>0</v>
      </c>
      <c r="T8" s="1">
        <f>Общее!Y5</f>
        <v>0</v>
      </c>
      <c r="U8" s="3">
        <f>Общее!Z5</f>
        <v>0</v>
      </c>
    </row>
    <row r="9" spans="1:21" ht="31.5" x14ac:dyDescent="0.25">
      <c r="A9" s="15">
        <v>3</v>
      </c>
      <c r="B9" s="27" t="str">
        <f>Общее!B6</f>
        <v>Ремонт пер. Масис от ПК00+00 (ул. Новошкольная) до ПК09+00 (дом № 10) в с. Сергей-Поле в Лазаревском районе города Сочи</v>
      </c>
      <c r="C9" s="21">
        <f>Общее!C6</f>
        <v>0.9</v>
      </c>
      <c r="D9" s="22">
        <f>Общее!D6</f>
        <v>3330</v>
      </c>
      <c r="E9" s="1" t="str">
        <f>Общее!I6</f>
        <v>асф.</v>
      </c>
      <c r="F9" s="4" t="str">
        <f>Общее!K6</f>
        <v>В администрация города Сочи поступали обращения жителей о необходимости ремонта дорожного полотна.  Также в администрацию горда Сочи выдано предписание ГИБДД УВД по городу Сочи ГУ МВД России по Краснодарскому краю№23 ДН 000223 о принятии мер по привидению проезжей части в надлежащее состояние.</v>
      </c>
      <c r="G9" s="2">
        <f>Общее!L6</f>
        <v>5053134</v>
      </c>
      <c r="H9" s="1">
        <f>Общее!M6</f>
        <v>147.1</v>
      </c>
      <c r="I9" s="3">
        <f>Общее!N6</f>
        <v>190080.23956895998</v>
      </c>
      <c r="J9" s="1">
        <f>Общее!O6</f>
        <v>0</v>
      </c>
      <c r="K9" s="1">
        <f>Общее!P6</f>
        <v>0</v>
      </c>
      <c r="L9" s="1">
        <f>Общее!Q6</f>
        <v>0</v>
      </c>
      <c r="M9" s="1">
        <f>Общее!R6</f>
        <v>0</v>
      </c>
      <c r="N9" s="1">
        <f>Общее!S6</f>
        <v>0</v>
      </c>
      <c r="O9" s="3">
        <f>Общее!T6</f>
        <v>0</v>
      </c>
      <c r="P9" s="1">
        <f>Общее!U6</f>
        <v>130.88999999999999</v>
      </c>
      <c r="Q9" s="3">
        <f>Общее!V6</f>
        <v>361906.82188642793</v>
      </c>
      <c r="R9" s="1">
        <f>Общее!W6</f>
        <v>0</v>
      </c>
      <c r="S9" s="3">
        <f>Общее!X6</f>
        <v>0</v>
      </c>
      <c r="T9" s="1">
        <f>Общее!Y6</f>
        <v>0</v>
      </c>
      <c r="U9" s="3">
        <f>Общее!Z6</f>
        <v>0</v>
      </c>
    </row>
    <row r="10" spans="1:21" ht="31.5" x14ac:dyDescent="0.25">
      <c r="A10" s="15">
        <v>4</v>
      </c>
      <c r="B10" s="27" t="str">
        <f>Общее!B7</f>
        <v>Ремонт ул. Алтайской от ПК00+00 (ул. Декабристов) до ПК05+64 (ул. Обходная) в пос. Лоо в Лазаревском районе города Сочи</v>
      </c>
      <c r="C10" s="21">
        <f>Общее!C7</f>
        <v>0.56399999999999995</v>
      </c>
      <c r="D10" s="22">
        <f>Общее!D7</f>
        <v>2368.8000000000002</v>
      </c>
      <c r="E10" s="1" t="str">
        <f>Общее!I7</f>
        <v>асф.</v>
      </c>
      <c r="F10" s="4" t="str">
        <f>Общее!K7</f>
        <v>В администрацию города Сочи поступали обращения жителей о необходимости ремонта дорожного полотна</v>
      </c>
      <c r="G10" s="2">
        <f>Общее!L7</f>
        <v>3585131</v>
      </c>
      <c r="H10" s="1">
        <f>Общее!M7</f>
        <v>258.38</v>
      </c>
      <c r="I10" s="3">
        <f>Общее!N7</f>
        <v>326097.69314085599</v>
      </c>
      <c r="J10" s="1">
        <f>Общее!O7</f>
        <v>0</v>
      </c>
      <c r="K10" s="1">
        <f>Общее!P7</f>
        <v>0</v>
      </c>
      <c r="L10" s="1">
        <f>Общее!Q7</f>
        <v>0</v>
      </c>
      <c r="M10" s="1">
        <f>Общее!R7</f>
        <v>0</v>
      </c>
      <c r="N10" s="1">
        <f>Общее!S7</f>
        <v>0</v>
      </c>
      <c r="O10" s="3">
        <f>Общее!T7</f>
        <v>0</v>
      </c>
      <c r="P10" s="1">
        <f>Общее!U7</f>
        <v>99.379000000000005</v>
      </c>
      <c r="Q10" s="3">
        <f>Общее!V7</f>
        <v>274779.87663115084</v>
      </c>
      <c r="R10" s="1">
        <f>Общее!W7</f>
        <v>0</v>
      </c>
      <c r="S10" s="3">
        <f>Общее!X7</f>
        <v>0</v>
      </c>
      <c r="T10" s="1">
        <f>Общее!Y7</f>
        <v>0</v>
      </c>
      <c r="U10" s="3">
        <f>Общее!Z7</f>
        <v>0</v>
      </c>
    </row>
    <row r="11" spans="1:21" ht="31.5" x14ac:dyDescent="0.25">
      <c r="A11" s="15">
        <v>5</v>
      </c>
      <c r="B11" s="27" t="str">
        <f>Общее!B8</f>
        <v>Ремонт ул. Арташатской от ПК00+00 (ул. Череповецкая) до ПК35+50 (ул. Иджеванская) в с. Верхнеякорная Щель в Лазаревском районе города Сочи</v>
      </c>
      <c r="C11" s="21">
        <f>Общее!C8</f>
        <v>3.55</v>
      </c>
      <c r="D11" s="22">
        <f>Общее!D8</f>
        <v>13490</v>
      </c>
      <c r="E11" s="1" t="str">
        <f>Общее!I8</f>
        <v>асф.</v>
      </c>
      <c r="F11" s="4" t="str">
        <f>Общее!K8</f>
        <v>В администрация города Сочи поступали обращения о необходимости ремонта дорожного полотна</v>
      </c>
      <c r="G11" s="2">
        <f>Общее!L8</f>
        <v>21303020</v>
      </c>
      <c r="H11" s="1">
        <f>Общее!M8</f>
        <v>1024.08</v>
      </c>
      <c r="I11" s="3">
        <f>Общее!N8</f>
        <v>1079786.8752540478</v>
      </c>
      <c r="J11" s="1">
        <f>Общее!O8</f>
        <v>0</v>
      </c>
      <c r="K11" s="1">
        <f>Общее!P8</f>
        <v>0</v>
      </c>
      <c r="L11" s="1">
        <f>Общее!Q8</f>
        <v>0</v>
      </c>
      <c r="M11" s="1">
        <f>Общее!R8</f>
        <v>0</v>
      </c>
      <c r="N11" s="1">
        <f>Общее!S8</f>
        <v>0</v>
      </c>
      <c r="O11" s="3">
        <f>Общее!T8</f>
        <v>0</v>
      </c>
      <c r="P11" s="1">
        <f>Общее!U8</f>
        <v>547.70000000000005</v>
      </c>
      <c r="Q11" s="3">
        <f>Общее!V8</f>
        <v>1514373.6446420401</v>
      </c>
      <c r="R11" s="1">
        <f>Общее!W8</f>
        <v>0</v>
      </c>
      <c r="S11" s="3">
        <f>Общее!X8</f>
        <v>0</v>
      </c>
      <c r="T11" s="1">
        <f>Общее!Y8</f>
        <v>0</v>
      </c>
      <c r="U11" s="3">
        <f>Общее!Z8</f>
        <v>0</v>
      </c>
    </row>
    <row r="12" spans="1:21" ht="31.5" x14ac:dyDescent="0.25">
      <c r="A12" s="15">
        <v>6</v>
      </c>
      <c r="B12" s="27" t="str">
        <f>Общее!B9</f>
        <v>Ремонт ул. Балтийской от ПК00+00 (ул. Летняя) до ПК04+00 (дом № 27 по ул. Балтийская) в пос. Дагомыс в Лазаревском районе города Сочи</v>
      </c>
      <c r="C12" s="21">
        <f>Общее!C9</f>
        <v>0.4</v>
      </c>
      <c r="D12" s="22">
        <f>Общее!D9</f>
        <v>2000</v>
      </c>
      <c r="E12" s="1" t="str">
        <f>Общее!I9</f>
        <v>асф.</v>
      </c>
      <c r="F12" s="4" t="str">
        <f>Общее!K9</f>
        <v>В администрацию города Сочи поступали обращения жителей о необходимости ремонта дорожного полотна</v>
      </c>
      <c r="G12" s="2">
        <f>Общее!L9</f>
        <v>2587523</v>
      </c>
      <c r="H12" s="1">
        <f>Общее!M9</f>
        <v>0</v>
      </c>
      <c r="I12" s="1">
        <f>Общее!N9</f>
        <v>0</v>
      </c>
      <c r="J12" s="1">
        <f>Общее!O9</f>
        <v>0</v>
      </c>
      <c r="K12" s="1">
        <f>Общее!P9</f>
        <v>0</v>
      </c>
      <c r="L12" s="1">
        <f>Общее!Q9</f>
        <v>0</v>
      </c>
      <c r="M12" s="1">
        <f>Общее!R9</f>
        <v>0</v>
      </c>
      <c r="N12" s="1">
        <f>Общее!S9</f>
        <v>0</v>
      </c>
      <c r="O12" s="3">
        <f>Общее!T9</f>
        <v>0</v>
      </c>
      <c r="P12" s="1">
        <f>Общее!U9</f>
        <v>46.88</v>
      </c>
      <c r="Q12" s="3">
        <f>Общее!V9</f>
        <v>129621.757277376</v>
      </c>
      <c r="R12" s="1">
        <f>Общее!W9</f>
        <v>0</v>
      </c>
      <c r="S12" s="3">
        <f>Общее!X9</f>
        <v>0</v>
      </c>
      <c r="T12" s="1">
        <f>Общее!Y9</f>
        <v>0</v>
      </c>
      <c r="U12" s="3">
        <f>Общее!Z9</f>
        <v>0</v>
      </c>
    </row>
    <row r="13" spans="1:21" ht="31.5" x14ac:dyDescent="0.25">
      <c r="A13" s="15">
        <v>7</v>
      </c>
      <c r="B13" s="27" t="str">
        <f>Общее!B10</f>
        <v>Ремонт ул. Бюроканской от ПК00+00 (ул. Рязанская) до ПК15+00 (ул.Холмская) в с. Детляжка в Лазаревском районе города Сочи</v>
      </c>
      <c r="C13" s="21">
        <f>Общее!C10</f>
        <v>1.5</v>
      </c>
      <c r="D13" s="22">
        <f>Общее!D10</f>
        <v>9000</v>
      </c>
      <c r="E13" s="1" t="str">
        <f>Общее!I10</f>
        <v>асф.</v>
      </c>
      <c r="F13" s="4" t="str">
        <f>Общее!K10</f>
        <v>Обращение граждан (3 шт)</v>
      </c>
      <c r="G13" s="2">
        <f>Общее!L10</f>
        <v>13253927</v>
      </c>
      <c r="H13" s="1">
        <f>Общее!M10</f>
        <v>0</v>
      </c>
      <c r="I13" s="1">
        <f>Общее!N10</f>
        <v>0</v>
      </c>
      <c r="J13" s="1">
        <f>Общее!O10</f>
        <v>0</v>
      </c>
      <c r="K13" s="1">
        <f>Общее!P10</f>
        <v>0</v>
      </c>
      <c r="L13" s="1">
        <f>Общее!Q10</f>
        <v>0</v>
      </c>
      <c r="M13" s="1">
        <f>Общее!R10</f>
        <v>0</v>
      </c>
      <c r="N13" s="1">
        <f>Общее!S10</f>
        <v>0</v>
      </c>
      <c r="O13" s="3">
        <f>Общее!T10</f>
        <v>0</v>
      </c>
      <c r="P13" s="1">
        <f>Общее!U10</f>
        <v>300</v>
      </c>
      <c r="Q13" s="3">
        <f>Общее!V10</f>
        <v>829490.76755999995</v>
      </c>
      <c r="R13" s="1">
        <f>Общее!W10</f>
        <v>0</v>
      </c>
      <c r="S13" s="3">
        <f>Общее!X10</f>
        <v>0</v>
      </c>
      <c r="T13" s="1">
        <f>Общее!Y10</f>
        <v>0</v>
      </c>
      <c r="U13" s="3">
        <f>Общее!Z10</f>
        <v>0</v>
      </c>
    </row>
    <row r="14" spans="1:21" ht="31.5" x14ac:dyDescent="0.25">
      <c r="A14" s="15">
        <v>8</v>
      </c>
      <c r="B14" s="27" t="str">
        <f>Общее!B11</f>
        <v>Ремонт ул. Глинки от ПК00+00 (ФАД А-147) до ПК02+00 (ул. Победы) в пос. Лазаревское в Лазаревском районе города Сочи</v>
      </c>
      <c r="C14" s="21">
        <f>Общее!C11</f>
        <v>0.2</v>
      </c>
      <c r="D14" s="22">
        <f>Общее!D11</f>
        <v>1200</v>
      </c>
      <c r="E14" s="1" t="str">
        <f>Общее!I11</f>
        <v>асф.</v>
      </c>
      <c r="F14" s="4" t="str">
        <f>Общее!K11</f>
        <v>Письмо администрации района.</v>
      </c>
      <c r="G14" s="2">
        <f>Общее!L11</f>
        <v>2027159</v>
      </c>
      <c r="H14" s="1">
        <f>Общее!M11</f>
        <v>0</v>
      </c>
      <c r="I14" s="1">
        <f>Общее!N11</f>
        <v>0</v>
      </c>
      <c r="J14" s="1">
        <f>Общее!O11</f>
        <v>0</v>
      </c>
      <c r="K14" s="1">
        <f>Общее!P11</f>
        <v>0</v>
      </c>
      <c r="L14" s="1">
        <f>Общее!Q11</f>
        <v>0</v>
      </c>
      <c r="M14" s="1">
        <f>Общее!R11</f>
        <v>0</v>
      </c>
      <c r="N14" s="1">
        <f>Общее!S11</f>
        <v>0</v>
      </c>
      <c r="O14" s="3">
        <f>Общее!T11</f>
        <v>0</v>
      </c>
      <c r="P14" s="1">
        <f>Общее!U11</f>
        <v>45</v>
      </c>
      <c r="Q14" s="3">
        <f>Общее!V11</f>
        <v>124423.61513399999</v>
      </c>
      <c r="R14" s="1">
        <f>Общее!W11</f>
        <v>0</v>
      </c>
      <c r="S14" s="3">
        <f>Общее!X11</f>
        <v>0</v>
      </c>
      <c r="T14" s="1">
        <f>Общее!Y11</f>
        <v>0</v>
      </c>
      <c r="U14" s="3">
        <f>Общее!Z11</f>
        <v>0</v>
      </c>
    </row>
    <row r="15" spans="1:21" ht="31.5" x14ac:dyDescent="0.25">
      <c r="A15" s="15">
        <v>9</v>
      </c>
      <c r="B15" s="27" t="str">
        <f>Общее!B12</f>
        <v>Ремонт ул. Космической от ПК00+00 (автомобильная дорога п. Дагомыс - с. Солохаул) до ПК21+70 в с. Волковка в Лазаревском районе города Сочи</v>
      </c>
      <c r="C15" s="21">
        <f>Общее!C12</f>
        <v>2.17</v>
      </c>
      <c r="D15" s="22">
        <f>Общее!D12</f>
        <v>11718</v>
      </c>
      <c r="E15" s="1" t="str">
        <f>Общее!I12</f>
        <v>асф.</v>
      </c>
      <c r="F15" s="4" t="str">
        <f>Общее!K12</f>
        <v>В администрацию города Сочи и управление делами Президента РФ поступали обращения жителей о необходимости ремонта дорожного полотна. По данной автомобильной дороге осуществляются регулярные пассажирские перевозки маршрутов: №146 (мкр. Дагомыс - село Третья Рота), №208 (село Барановка – мкр. Дагомыс - село 3-я Рота – село Верхнее Учдере)</v>
      </c>
      <c r="G15" s="2">
        <f>Общее!L12</f>
        <v>17031538</v>
      </c>
      <c r="H15" s="1">
        <f>Общее!M12</f>
        <v>86.75</v>
      </c>
      <c r="I15" s="3">
        <f>Общее!N12</f>
        <v>130383.9293874</v>
      </c>
      <c r="J15" s="1">
        <f>Общее!O12</f>
        <v>0</v>
      </c>
      <c r="K15" s="1">
        <f>Общее!P12</f>
        <v>0</v>
      </c>
      <c r="L15" s="1">
        <f>Общее!Q12</f>
        <v>0</v>
      </c>
      <c r="M15" s="1">
        <f>Общее!R12</f>
        <v>0</v>
      </c>
      <c r="N15" s="1">
        <f>Общее!S12</f>
        <v>0</v>
      </c>
      <c r="O15" s="3">
        <f>Общее!T12</f>
        <v>0</v>
      </c>
      <c r="P15" s="1">
        <f>Общее!U12</f>
        <v>443</v>
      </c>
      <c r="Q15" s="3">
        <f>Общее!V12</f>
        <v>1224881.3667635999</v>
      </c>
      <c r="R15" s="1">
        <f>Общее!W12</f>
        <v>0</v>
      </c>
      <c r="S15" s="3">
        <f>Общее!X12</f>
        <v>0</v>
      </c>
      <c r="T15" s="1">
        <f>Общее!Y12</f>
        <v>0</v>
      </c>
      <c r="U15" s="3">
        <f>Общее!Z12</f>
        <v>0</v>
      </c>
    </row>
    <row r="16" spans="1:21" ht="31.5" x14ac:dyDescent="0.25">
      <c r="A16" s="15">
        <v>10</v>
      </c>
      <c r="B16" s="27" t="str">
        <f>Общее!B13</f>
        <v>Ремонт ул. Кузнечной от ПК00+00 (ул. Обзорная) до ПК24+28  и от ПК00+00 (дом № 24) до ПК05+00 (дом № 34)  в с. Горное Лоо в Лазаревском районе города Сочи</v>
      </c>
      <c r="C16" s="21">
        <f>Общее!C13</f>
        <v>2.9279999999999999</v>
      </c>
      <c r="D16" s="22">
        <f>Общее!D13</f>
        <v>12883.2</v>
      </c>
      <c r="E16" s="1" t="str">
        <f>Общее!I13</f>
        <v>асф.</v>
      </c>
      <c r="F16" s="4" t="str">
        <f>Общее!K13</f>
        <v xml:space="preserve">В администрация города Сочи и администрацию Краснодарского края  поступали коллективное обращения жителей о необходимости ремонта дорожного полотна. </v>
      </c>
      <c r="G16" s="2">
        <f>Общее!L13</f>
        <v>20295360</v>
      </c>
      <c r="H16" s="1">
        <f>Общее!M13</f>
        <v>878.48</v>
      </c>
      <c r="I16" s="3">
        <f>Общее!N13</f>
        <v>1069028.2835556481</v>
      </c>
      <c r="J16" s="1">
        <f>Общее!O13</f>
        <v>0</v>
      </c>
      <c r="K16" s="1">
        <f>Общее!P13</f>
        <v>0</v>
      </c>
      <c r="L16" s="1">
        <f>Общее!Q13</f>
        <v>0</v>
      </c>
      <c r="M16" s="1">
        <f>Общее!R13</f>
        <v>0</v>
      </c>
      <c r="N16" s="1">
        <f>Общее!S13</f>
        <v>0</v>
      </c>
      <c r="O16" s="3">
        <f>Общее!T13</f>
        <v>0</v>
      </c>
      <c r="P16" s="1">
        <f>Общее!U13</f>
        <v>519</v>
      </c>
      <c r="Q16" s="3">
        <f>Общее!V13</f>
        <v>1435019.0278787999</v>
      </c>
      <c r="R16" s="1">
        <f>Общее!W13</f>
        <v>0</v>
      </c>
      <c r="S16" s="3">
        <f>Общее!X13</f>
        <v>0</v>
      </c>
      <c r="T16" s="1">
        <f>Общее!Y13</f>
        <v>0</v>
      </c>
      <c r="U16" s="3">
        <f>Общее!Z13</f>
        <v>0</v>
      </c>
    </row>
    <row r="17" spans="1:21" ht="31.5" x14ac:dyDescent="0.25">
      <c r="A17" s="15">
        <v>11</v>
      </c>
      <c r="B17" s="27" t="str">
        <f>Общее!B14</f>
        <v>Ремонт ул. Ленинградской от ПК02+00 (ПК00+00 ФАД А-147) до ПК13+20 в пос. Дагомыс в Лазаревском районе города Сочи</v>
      </c>
      <c r="C17" s="21">
        <f>Общее!C14</f>
        <v>1.1200000000000001</v>
      </c>
      <c r="D17" s="22">
        <f>Общее!D14</f>
        <v>7168</v>
      </c>
      <c r="E17" s="1" t="str">
        <f>Общее!I14</f>
        <v>асф.</v>
      </c>
      <c r="F17" s="4" t="str">
        <f>Общее!K14</f>
        <v>В администрацию города Сочи поступали обращения жителей о необходимости ремонта дорожного полотна</v>
      </c>
      <c r="G17" s="2">
        <f>Общее!L14</f>
        <v>10584903</v>
      </c>
      <c r="H17" s="1">
        <f>Общее!M14</f>
        <v>0</v>
      </c>
      <c r="I17" s="1">
        <f>Общее!N14</f>
        <v>0</v>
      </c>
      <c r="J17" s="1">
        <f>Общее!O14</f>
        <v>0</v>
      </c>
      <c r="K17" s="1">
        <f>Общее!P14</f>
        <v>0</v>
      </c>
      <c r="L17" s="1">
        <f>Общее!Q14</f>
        <v>0</v>
      </c>
      <c r="M17" s="1">
        <f>Общее!R14</f>
        <v>0</v>
      </c>
      <c r="N17" s="1">
        <f>Общее!S14</f>
        <v>0</v>
      </c>
      <c r="O17" s="3">
        <f>Общее!T14</f>
        <v>0</v>
      </c>
      <c r="P17" s="1">
        <f>Общее!U14</f>
        <v>268.8</v>
      </c>
      <c r="Q17" s="3">
        <f>Общее!V14</f>
        <v>743223.72773376002</v>
      </c>
      <c r="R17" s="1">
        <f>Общее!W14</f>
        <v>0</v>
      </c>
      <c r="S17" s="3">
        <f>Общее!X14</f>
        <v>0</v>
      </c>
      <c r="T17" s="1">
        <f>Общее!Y14</f>
        <v>0</v>
      </c>
      <c r="U17" s="3">
        <f>Общее!Z14</f>
        <v>0</v>
      </c>
    </row>
    <row r="18" spans="1:21" ht="31.5" x14ac:dyDescent="0.25">
      <c r="A18" s="15">
        <v>12</v>
      </c>
      <c r="B18" s="27" t="str">
        <f>Общее!B15</f>
        <v>Ремонт ул. Победы от ПК00+00 (дом №2а) до ПК38+00 (ФАД А-147) в пос. Лазаревское в Лазаревском районе города Сочи</v>
      </c>
      <c r="C18" s="21">
        <f>Общее!C15</f>
        <v>3.8</v>
      </c>
      <c r="D18" s="22">
        <f>Общее!D15</f>
        <v>24700</v>
      </c>
      <c r="E18" s="1" t="str">
        <f>Общее!I15</f>
        <v>асф.</v>
      </c>
      <c r="F18" s="4" t="str">
        <f>Общее!K15</f>
        <v>В администрацию города Сочи поступали обращения о необходимости ремонта дорожного полотна. По данной автомобильной дороге осуществляются регулярные пассажирские перевозки маршрутов: №68 (мкр. Лазаревское (ост. рынок ТВС) - в/с Янтарь), №69 (мкр. Лазаревское, ул. Малышева (ост. Дом Ветеранов) - ул. Свирская), №70 (мкр. Лазаревское, пер. Павлова  (ост. Казачий Хутор) - кафе Минутка)</v>
      </c>
      <c r="G18" s="2">
        <f>Общее!L15</f>
        <v>27968631</v>
      </c>
      <c r="H18" s="1">
        <f>Общее!M15</f>
        <v>0</v>
      </c>
      <c r="I18" s="1">
        <f>Общее!N15</f>
        <v>0</v>
      </c>
      <c r="J18" s="1">
        <f>Общее!O15</f>
        <v>2246.4</v>
      </c>
      <c r="K18" s="3">
        <f>Общее!P15</f>
        <v>72699.777745920001</v>
      </c>
      <c r="L18" s="1">
        <f>Общее!Q15</f>
        <v>0</v>
      </c>
      <c r="M18" s="1">
        <f>Общее!R15</f>
        <v>0</v>
      </c>
      <c r="N18" s="1">
        <f>Общее!S15</f>
        <v>0</v>
      </c>
      <c r="O18" s="3">
        <f>Общее!T15</f>
        <v>0</v>
      </c>
      <c r="P18" s="1">
        <f>Общее!U15</f>
        <v>100.1</v>
      </c>
      <c r="Q18" s="3">
        <f>Общее!V15</f>
        <v>276773.41944252001</v>
      </c>
      <c r="R18" s="1">
        <f>Общее!W15</f>
        <v>0</v>
      </c>
      <c r="S18" s="3">
        <f>Общее!X15</f>
        <v>0</v>
      </c>
      <c r="T18" s="1">
        <f>Общее!Y15</f>
        <v>103</v>
      </c>
      <c r="U18" s="3">
        <f>Общее!Z15</f>
        <v>284791.83019559999</v>
      </c>
    </row>
    <row r="19" spans="1:21" ht="31.5" x14ac:dyDescent="0.25">
      <c r="A19" s="15">
        <v>13</v>
      </c>
      <c r="B19" s="27" t="str">
        <f>Общее!B64</f>
        <v>Ремонт ул. Хризантем от ПК00+00 (дом № 1) до ПК02+70 (дом № 15) в п. Аше в Лазаревском районе города Сочи</v>
      </c>
      <c r="C19" s="21">
        <f>Общее!C64</f>
        <v>0.27</v>
      </c>
      <c r="D19" s="22">
        <f>Общее!D64</f>
        <v>1350</v>
      </c>
      <c r="E19" s="1" t="str">
        <f>Общее!I64</f>
        <v>асф.</v>
      </c>
      <c r="F19" s="4">
        <f>Общее!K64</f>
        <v>0</v>
      </c>
      <c r="G19" s="2">
        <f>Общее!L64</f>
        <v>2636913</v>
      </c>
      <c r="H19" s="2">
        <f>Общее!M64</f>
        <v>35.840000000000003</v>
      </c>
      <c r="I19" s="2">
        <f>Общее!N64</f>
        <v>20280.713177088001</v>
      </c>
      <c r="J19" s="2">
        <f>Общее!O64</f>
        <v>60.84</v>
      </c>
      <c r="K19" s="2">
        <f>Общее!P64</f>
        <v>43475.513915808006</v>
      </c>
      <c r="L19" s="2">
        <f>Общее!Q64</f>
        <v>0</v>
      </c>
      <c r="M19" s="2">
        <f>Общее!R64</f>
        <v>0</v>
      </c>
      <c r="N19" s="2">
        <f>Общее!S64</f>
        <v>0</v>
      </c>
      <c r="O19" s="2">
        <f>Общее!T64</f>
        <v>0</v>
      </c>
      <c r="P19" s="2">
        <f>Общее!U64</f>
        <v>63</v>
      </c>
      <c r="Q19" s="2">
        <f>Общее!V64</f>
        <v>174193.06118759999</v>
      </c>
      <c r="R19" s="2">
        <f>Общее!W64</f>
        <v>0</v>
      </c>
      <c r="S19" s="2">
        <f>Общее!X64</f>
        <v>0</v>
      </c>
      <c r="T19" s="2">
        <f>Общее!Y64</f>
        <v>0</v>
      </c>
      <c r="U19" s="2">
        <f>Общее!Z64</f>
        <v>0</v>
      </c>
    </row>
    <row r="20" spans="1:21" ht="31.5" x14ac:dyDescent="0.25">
      <c r="A20" s="15">
        <v>14</v>
      </c>
      <c r="B20" s="27" t="str">
        <f>Общее!B65</f>
        <v>Ремонт ул. Юности от ПК00+00 (ФАД А-147) до ПК02+00 (дом № 7) в п. Аше в Лазаревском районе города Сочи</v>
      </c>
      <c r="C20" s="21">
        <f>Общее!C65</f>
        <v>0.2</v>
      </c>
      <c r="D20" s="22">
        <f>Общее!D65</f>
        <v>1000</v>
      </c>
      <c r="E20" s="1" t="str">
        <f>Общее!I65</f>
        <v>асф.</v>
      </c>
      <c r="F20" s="4" t="str">
        <f>Общее!K65</f>
        <v>В администрация города Сочи поступили обращения граждан в колличестве (2)</v>
      </c>
      <c r="G20" s="2">
        <f>Общее!L65</f>
        <v>2175799</v>
      </c>
      <c r="H20" s="2">
        <f>Общее!M65</f>
        <v>64.12</v>
      </c>
      <c r="I20" s="2">
        <f>Общее!N65</f>
        <v>37008.694627631994</v>
      </c>
      <c r="J20" s="2">
        <f>Общее!O65</f>
        <v>37.44</v>
      </c>
      <c r="K20" s="2">
        <f>Общее!P65</f>
        <v>26754.162409728</v>
      </c>
      <c r="L20" s="2">
        <f>Общее!Q65</f>
        <v>0</v>
      </c>
      <c r="M20" s="2">
        <f>Общее!R65</f>
        <v>0</v>
      </c>
      <c r="N20" s="2">
        <f>Общее!S65</f>
        <v>0</v>
      </c>
      <c r="O20" s="2">
        <f>Общее!T65</f>
        <v>0</v>
      </c>
      <c r="P20" s="2">
        <f>Общее!U65</f>
        <v>43.2</v>
      </c>
      <c r="Q20" s="2">
        <f>Общее!V65</f>
        <v>119446.67052864001</v>
      </c>
      <c r="R20" s="2">
        <f>Общее!W65</f>
        <v>0</v>
      </c>
      <c r="S20" s="2">
        <f>Общее!X65</f>
        <v>0</v>
      </c>
      <c r="T20" s="2">
        <f>Общее!Y65</f>
        <v>0</v>
      </c>
      <c r="U20" s="2">
        <f>Общее!Z65</f>
        <v>0</v>
      </c>
    </row>
    <row r="21" spans="1:21" ht="31.5" x14ac:dyDescent="0.25">
      <c r="A21" s="15">
        <v>15</v>
      </c>
      <c r="B21" s="27" t="str">
        <f>Общее!B66</f>
        <v>Ремонт ул. Павлова от ПК00+00 (ул. Янтарная) до ПК15+00 (пер. Павлова) в Лазаревском районе города Сочи</v>
      </c>
      <c r="C21" s="21">
        <f>Общее!C66</f>
        <v>1.5</v>
      </c>
      <c r="D21" s="22">
        <f>Общее!D66</f>
        <v>12000</v>
      </c>
      <c r="E21" s="1" t="str">
        <f>Общее!I66</f>
        <v>асф.</v>
      </c>
      <c r="F21" s="4" t="str">
        <f>Общее!K66</f>
        <v xml:space="preserve">В адрес администрации города Сочи поступили обращения граждан за 2016-2018 годы в колличестве (6), предписаний ОГИБДД в колличестве (3), представлении ОГИБДД в колличестве (3) </v>
      </c>
      <c r="G21" s="2">
        <f>Общее!L66</f>
        <v>11363990</v>
      </c>
      <c r="H21" s="2">
        <f>Общее!M66</f>
        <v>1.1100000000000001</v>
      </c>
      <c r="I21" s="2">
        <f>Общее!N66</f>
        <v>745.178354388</v>
      </c>
      <c r="J21" s="2">
        <f>Общее!O66</f>
        <v>1123.2</v>
      </c>
      <c r="K21" s="2">
        <f>Общее!P66</f>
        <v>36349.88887296</v>
      </c>
      <c r="L21" s="2">
        <f>Общее!Q66</f>
        <v>0</v>
      </c>
      <c r="M21" s="2">
        <f>Общее!R66</f>
        <v>0</v>
      </c>
      <c r="N21" s="2">
        <f>Общее!S66</f>
        <v>0</v>
      </c>
      <c r="O21" s="2">
        <f>Общее!T66</f>
        <v>0</v>
      </c>
      <c r="P21" s="2">
        <f>Общее!U66</f>
        <v>0</v>
      </c>
      <c r="Q21" s="2">
        <f>Общее!V66</f>
        <v>0</v>
      </c>
      <c r="R21" s="2">
        <f>Общее!W66</f>
        <v>0</v>
      </c>
      <c r="S21" s="2">
        <f>Общее!X66</f>
        <v>0</v>
      </c>
      <c r="T21" s="2">
        <f>Общее!Y66</f>
        <v>2.5750000000000002</v>
      </c>
      <c r="U21" s="2">
        <f>Общее!Z66</f>
        <v>7119.7957548900004</v>
      </c>
    </row>
    <row r="22" spans="1:21" ht="15.75" customHeight="1" x14ac:dyDescent="0.25">
      <c r="A22" s="47" t="s">
        <v>26</v>
      </c>
      <c r="B22" s="47"/>
      <c r="C22" s="16">
        <f t="shared" ref="C22:D22" si="0">SUM(C7:C21)</f>
        <v>19.842000000000002</v>
      </c>
      <c r="D22" s="2">
        <f t="shared" si="0"/>
        <v>104524</v>
      </c>
      <c r="E22" s="2"/>
      <c r="F22" s="2">
        <f t="shared" ref="F22:T22" si="1">SUM(F7:F21)</f>
        <v>0</v>
      </c>
      <c r="G22" s="2">
        <f t="shared" si="1"/>
        <v>143817952</v>
      </c>
      <c r="H22" s="17">
        <f t="shared" si="1"/>
        <v>2571.3000000000002</v>
      </c>
      <c r="I22" s="12">
        <f t="shared" si="1"/>
        <v>2899617.796780068</v>
      </c>
      <c r="J22" s="6">
        <f t="shared" si="1"/>
        <v>3467.88</v>
      </c>
      <c r="K22" s="6">
        <f t="shared" si="1"/>
        <v>179279.34294441598</v>
      </c>
      <c r="L22" s="7">
        <f t="shared" si="1"/>
        <v>0</v>
      </c>
      <c r="M22" s="7">
        <f t="shared" si="1"/>
        <v>0</v>
      </c>
      <c r="N22" s="7">
        <f t="shared" si="1"/>
        <v>0</v>
      </c>
      <c r="O22" s="7">
        <f t="shared" si="1"/>
        <v>0</v>
      </c>
      <c r="P22" s="7">
        <f t="shared" si="1"/>
        <v>2696.8789999999999</v>
      </c>
      <c r="Q22" s="7">
        <f t="shared" si="1"/>
        <v>7456787.4390881509</v>
      </c>
      <c r="R22" s="7">
        <f t="shared" si="1"/>
        <v>0</v>
      </c>
      <c r="S22" s="7">
        <f t="shared" si="1"/>
        <v>0</v>
      </c>
      <c r="T22" s="7">
        <f t="shared" si="1"/>
        <v>105.575</v>
      </c>
      <c r="U22" s="7">
        <f t="shared" ref="U22" si="2">SUM(U7:U21)</f>
        <v>291911.62595049001</v>
      </c>
    </row>
    <row r="24" spans="1:21" ht="15.75" x14ac:dyDescent="0.25">
      <c r="A24" s="37" t="s">
        <v>146</v>
      </c>
      <c r="B24" s="37"/>
      <c r="C24" s="37"/>
      <c r="D24" s="37"/>
      <c r="E24" s="37"/>
    </row>
  </sheetData>
  <mergeCells count="18">
    <mergeCell ref="A22:B22"/>
    <mergeCell ref="F4:F6"/>
    <mergeCell ref="G4:G6"/>
    <mergeCell ref="H4:M4"/>
    <mergeCell ref="A4:A6"/>
    <mergeCell ref="B4:B6"/>
    <mergeCell ref="C4:C6"/>
    <mergeCell ref="D4:D6"/>
    <mergeCell ref="A3:E3"/>
    <mergeCell ref="N4:U4"/>
    <mergeCell ref="H5:I5"/>
    <mergeCell ref="J5:K5"/>
    <mergeCell ref="L5:M5"/>
    <mergeCell ref="N5:O5"/>
    <mergeCell ref="P5:Q5"/>
    <mergeCell ref="R5:S5"/>
    <mergeCell ref="T5:U5"/>
    <mergeCell ref="E4:E6"/>
  </mergeCells>
  <pageMargins left="0.25" right="0.25" top="0.75" bottom="0.75" header="0.3" footer="0.3"/>
  <pageSetup paperSize="9"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118.42578125" customWidth="1"/>
  </cols>
  <sheetData>
    <row r="1" spans="1:1" ht="232.5" x14ac:dyDescent="0.35">
      <c r="A1" s="20" t="s">
        <v>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Общее</vt:lpstr>
      <vt:lpstr>Приложение №1</vt:lpstr>
      <vt:lpstr>Приложение №2</vt:lpstr>
      <vt:lpstr>Приложение №3</vt:lpstr>
      <vt:lpstr>Приложение №4</vt:lpstr>
      <vt:lpstr>Лист1</vt:lpstr>
      <vt:lpstr>Лист2</vt:lpstr>
      <vt:lpstr>Общее!Область_печати</vt:lpstr>
      <vt:lpstr>'Приложение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2019-02-01T12:00:28Z</dcterms:modified>
</cp:coreProperties>
</file>